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9105" windowHeight="7890" firstSheet="3" activeTab="3"/>
  </bookViews>
  <sheets>
    <sheet name="распределение" sheetId="1" state="hidden" r:id="rId1"/>
    <sheet name="форма титула" sheetId="2" state="hidden" r:id="rId2"/>
    <sheet name="Лист1" sheetId="3" state="hidden" r:id="rId3"/>
    <sheet name="Лист3" sheetId="5" r:id="rId4"/>
    <sheet name="Лист4" sheetId="6" state="hidden" r:id="rId5"/>
    <sheet name="Лист9" sheetId="11" state="hidden" r:id="rId6"/>
    <sheet name="Лист2" sheetId="12" r:id="rId7"/>
    <sheet name="Лист5" sheetId="13" r:id="rId8"/>
  </sheets>
  <externalReferences>
    <externalReference r:id="rId9"/>
    <externalReference r:id="rId10"/>
  </externalReferences>
  <definedNames>
    <definedName name="_xlnm._FilterDatabase" localSheetId="3" hidden="1">Лист3!$A$16:$BD$41</definedName>
    <definedName name="_xlnm.Print_Area" localSheetId="3">Лист3!$A$1:$V$43</definedName>
    <definedName name="_xlnm.Print_Area" localSheetId="0">распределение!$A$1:$G$27</definedName>
    <definedName name="_xlnm.Print_Area" localSheetId="1">'форма титула'!$A$1:$BA$57</definedName>
  </definedNames>
  <calcPr calcId="145621"/>
</workbook>
</file>

<file path=xl/calcChain.xml><?xml version="1.0" encoding="utf-8"?>
<calcChain xmlns="http://schemas.openxmlformats.org/spreadsheetml/2006/main">
  <c r="V40" i="5" l="1"/>
  <c r="V39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D17" i="5"/>
  <c r="C41" i="5"/>
  <c r="V41" i="5" l="1"/>
  <c r="V44" i="5" s="1"/>
  <c r="V45" i="5" s="1"/>
  <c r="E32" i="11"/>
  <c r="L32" i="11"/>
  <c r="J32" i="11"/>
  <c r="H32" i="11"/>
  <c r="F32" i="11"/>
  <c r="D32" i="11"/>
  <c r="C32" i="11"/>
  <c r="I31" i="11"/>
  <c r="I30" i="11"/>
  <c r="K29" i="11"/>
  <c r="I29" i="11"/>
  <c r="I28" i="11"/>
  <c r="I26" i="11"/>
  <c r="K25" i="11"/>
  <c r="K24" i="11"/>
  <c r="I24" i="11"/>
  <c r="K23" i="11"/>
  <c r="I23" i="11"/>
  <c r="K22" i="11"/>
  <c r="I22" i="11"/>
  <c r="I21" i="11"/>
  <c r="I20" i="11"/>
  <c r="K19" i="11"/>
  <c r="G19" i="11"/>
  <c r="K18" i="11"/>
  <c r="G18" i="11"/>
  <c r="M17" i="11"/>
  <c r="K17" i="11"/>
  <c r="G17" i="11"/>
  <c r="M16" i="11"/>
  <c r="K16" i="11"/>
  <c r="G16" i="11"/>
  <c r="M15" i="11"/>
  <c r="M32" i="11" s="1"/>
  <c r="K15" i="11"/>
  <c r="K32" i="11" s="1"/>
  <c r="I14" i="11"/>
  <c r="I32" i="11" s="1"/>
  <c r="G14" i="11"/>
  <c r="G32" i="11" s="1"/>
  <c r="N13" i="11"/>
  <c r="Y40" i="6"/>
  <c r="AG40" i="6"/>
  <c r="AI40" i="6"/>
  <c r="AO40" i="6"/>
  <c r="AT36" i="6"/>
  <c r="AT35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N16" i="11" l="1"/>
  <c r="N19" i="11"/>
  <c r="N21" i="11"/>
  <c r="N23" i="11"/>
  <c r="N29" i="11"/>
  <c r="N17" i="11"/>
  <c r="N22" i="11"/>
  <c r="N24" i="11"/>
  <c r="N26" i="11"/>
  <c r="N30" i="11"/>
  <c r="N15" i="11"/>
  <c r="N12" i="11"/>
  <c r="AQ40" i="6"/>
  <c r="AN40" i="6"/>
  <c r="AL40" i="6"/>
  <c r="AJ40" i="6"/>
  <c r="AH40" i="6"/>
  <c r="AD40" i="6"/>
  <c r="AB40" i="6"/>
  <c r="Z40" i="6"/>
  <c r="X40" i="6"/>
  <c r="V40" i="6"/>
  <c r="T40" i="6"/>
  <c r="R40" i="6"/>
  <c r="P40" i="6"/>
  <c r="N40" i="6"/>
  <c r="L40" i="6"/>
  <c r="J40" i="6"/>
  <c r="H40" i="6"/>
  <c r="F40" i="6"/>
  <c r="E40" i="6"/>
  <c r="AR39" i="6"/>
  <c r="AM39" i="6"/>
  <c r="AK39" i="6"/>
  <c r="AE39" i="6"/>
  <c r="AC39" i="6"/>
  <c r="Q39" i="6"/>
  <c r="O39" i="6"/>
  <c r="M39" i="6"/>
  <c r="K39" i="6"/>
  <c r="G39" i="6"/>
  <c r="AR38" i="6"/>
  <c r="AM38" i="6"/>
  <c r="AK38" i="6"/>
  <c r="AE38" i="6"/>
  <c r="AC38" i="6"/>
  <c r="U38" i="6"/>
  <c r="Q38" i="6"/>
  <c r="O38" i="6"/>
  <c r="M38" i="6"/>
  <c r="M40" i="6" s="1"/>
  <c r="K38" i="6"/>
  <c r="G38" i="6"/>
  <c r="G40" i="6" s="1"/>
  <c r="AR37" i="6"/>
  <c r="AM37" i="6"/>
  <c r="AK37" i="6"/>
  <c r="AE37" i="6"/>
  <c r="AC37" i="6"/>
  <c r="U37" i="6"/>
  <c r="AT37" i="6" s="1"/>
  <c r="O37" i="6"/>
  <c r="K37" i="6"/>
  <c r="AR36" i="6"/>
  <c r="AM36" i="6"/>
  <c r="AE36" i="6"/>
  <c r="AC36" i="6"/>
  <c r="U36" i="6"/>
  <c r="O36" i="6"/>
  <c r="K36" i="6"/>
  <c r="AR35" i="6"/>
  <c r="AM35" i="6"/>
  <c r="AK35" i="6"/>
  <c r="AE35" i="6"/>
  <c r="AC35" i="6"/>
  <c r="U35" i="6"/>
  <c r="Q35" i="6"/>
  <c r="O35" i="6"/>
  <c r="K35" i="6"/>
  <c r="AR34" i="6"/>
  <c r="AE34" i="6"/>
  <c r="AC34" i="6"/>
  <c r="O34" i="6"/>
  <c r="K34" i="6"/>
  <c r="AR33" i="6"/>
  <c r="AM33" i="6"/>
  <c r="AK33" i="6"/>
  <c r="AE33" i="6"/>
  <c r="AC33" i="6"/>
  <c r="O33" i="6"/>
  <c r="AM32" i="6"/>
  <c r="AM40" i="6" s="1"/>
  <c r="AK32" i="6"/>
  <c r="AE32" i="6"/>
  <c r="AC32" i="6"/>
  <c r="K32" i="6"/>
  <c r="AR31" i="6"/>
  <c r="AK31" i="6"/>
  <c r="AF31" i="6"/>
  <c r="AE31" i="6"/>
  <c r="AC31" i="6"/>
  <c r="Q31" i="6"/>
  <c r="O31" i="6"/>
  <c r="AR30" i="6"/>
  <c r="AE30" i="6"/>
  <c r="AC30" i="6"/>
  <c r="Q30" i="6"/>
  <c r="O30" i="6"/>
  <c r="K30" i="6"/>
  <c r="AR29" i="6"/>
  <c r="AE29" i="6"/>
  <c r="AC29" i="6"/>
  <c r="Q29" i="6"/>
  <c r="O29" i="6"/>
  <c r="K29" i="6"/>
  <c r="AK28" i="6"/>
  <c r="AE28" i="6"/>
  <c r="AC28" i="6"/>
  <c r="Q28" i="6"/>
  <c r="O28" i="6"/>
  <c r="K28" i="6"/>
  <c r="AR27" i="6"/>
  <c r="AE27" i="6"/>
  <c r="AC27" i="6"/>
  <c r="O27" i="6"/>
  <c r="K27" i="6"/>
  <c r="AC26" i="6"/>
  <c r="K26" i="6"/>
  <c r="AR25" i="6"/>
  <c r="AK25" i="6"/>
  <c r="W25" i="6"/>
  <c r="Q25" i="6"/>
  <c r="I25" i="6"/>
  <c r="AR24" i="6"/>
  <c r="AK24" i="6"/>
  <c r="W24" i="6"/>
  <c r="U24" i="6"/>
  <c r="Q24" i="6"/>
  <c r="I24" i="6"/>
  <c r="AR23" i="6"/>
  <c r="AK23" i="6"/>
  <c r="S23" i="6"/>
  <c r="Q23" i="6"/>
  <c r="I23" i="6"/>
  <c r="AR22" i="6"/>
  <c r="S22" i="6"/>
  <c r="Q22" i="6"/>
  <c r="I22" i="6"/>
  <c r="AR21" i="6"/>
  <c r="AK21" i="6"/>
  <c r="W21" i="6"/>
  <c r="S21" i="6"/>
  <c r="S40" i="6" s="1"/>
  <c r="Q21" i="6"/>
  <c r="AK20" i="6"/>
  <c r="AK40" i="6" s="1"/>
  <c r="AA20" i="6"/>
  <c r="AA40" i="6" s="1"/>
  <c r="K20" i="6"/>
  <c r="K40" i="6" s="1"/>
  <c r="I20" i="6"/>
  <c r="AT38" i="6" l="1"/>
  <c r="AT40" i="6" s="1"/>
  <c r="I40" i="6"/>
  <c r="Q40" i="6"/>
  <c r="W40" i="6"/>
  <c r="AR40" i="6"/>
  <c r="U40" i="6"/>
  <c r="AC40" i="6"/>
  <c r="O40" i="6"/>
  <c r="AE40" i="6"/>
  <c r="AT39" i="6"/>
  <c r="N32" i="11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17" i="2"/>
  <c r="AS40" i="6" l="1"/>
  <c r="N4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17" i="2"/>
  <c r="H40" i="2" l="1"/>
  <c r="AV40" i="2"/>
  <c r="AW37" i="2"/>
  <c r="AW38" i="2"/>
  <c r="AW39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3" i="2"/>
  <c r="AW34" i="2"/>
  <c r="AW35" i="2"/>
  <c r="AW36" i="2"/>
  <c r="AW17" i="2"/>
  <c r="AW40" i="2" l="1"/>
  <c r="W40" i="2"/>
  <c r="AF24" i="2" l="1"/>
  <c r="AS40" i="2"/>
  <c r="AP40" i="2"/>
  <c r="AJ40" i="2"/>
  <c r="AE40" i="2"/>
  <c r="AB40" i="2"/>
  <c r="Y40" i="2"/>
  <c r="U40" i="2"/>
  <c r="R40" i="2"/>
  <c r="O40" i="2"/>
  <c r="L40" i="2"/>
  <c r="I40" i="2"/>
  <c r="F40" i="2"/>
  <c r="P40" i="2"/>
  <c r="T17" i="2"/>
  <c r="T18" i="2"/>
  <c r="T19" i="2"/>
  <c r="T20" i="2"/>
  <c r="T21" i="2"/>
  <c r="T22" i="2"/>
  <c r="T23" i="2"/>
  <c r="T24" i="2"/>
  <c r="T25" i="2"/>
  <c r="T26" i="2"/>
  <c r="T27" i="2"/>
  <c r="BA27" i="2" s="1"/>
  <c r="T28" i="2"/>
  <c r="BA28" i="2" s="1"/>
  <c r="T29" i="2"/>
  <c r="T30" i="2"/>
  <c r="T31" i="2"/>
  <c r="T32" i="2"/>
  <c r="T33" i="2"/>
  <c r="T34" i="2"/>
  <c r="T35" i="2"/>
  <c r="T36" i="2"/>
  <c r="T37" i="2"/>
  <c r="BA37" i="2" s="1"/>
  <c r="T38" i="2"/>
  <c r="T40" i="2" l="1"/>
  <c r="AT17" i="2"/>
  <c r="AO40" i="2"/>
  <c r="AA39" i="2"/>
  <c r="BA39" i="2" s="1"/>
  <c r="AF20" i="2"/>
  <c r="AF21" i="2"/>
  <c r="AF25" i="2"/>
  <c r="AF26" i="2"/>
  <c r="AF27" i="2"/>
  <c r="AF28" i="2"/>
  <c r="AF29" i="2"/>
  <c r="AF30" i="2"/>
  <c r="AF31" i="2"/>
  <c r="AF32" i="2"/>
  <c r="AF33" i="2"/>
  <c r="AF34" i="2"/>
  <c r="AF3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2" i="2"/>
  <c r="X33" i="2"/>
  <c r="BA33" i="2" s="1"/>
  <c r="X34" i="2"/>
  <c r="X35" i="2"/>
  <c r="X36" i="2"/>
  <c r="X17" i="2"/>
  <c r="AT18" i="2"/>
  <c r="AT19" i="2"/>
  <c r="AT20" i="2"/>
  <c r="BA20" i="2" s="1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K38" i="2"/>
  <c r="K37" i="2"/>
  <c r="K36" i="2"/>
  <c r="K34" i="2"/>
  <c r="E40" i="2"/>
  <c r="AA38" i="2"/>
  <c r="BA38" i="2" s="1"/>
  <c r="AA37" i="2"/>
  <c r="AA36" i="2"/>
  <c r="AA35" i="2"/>
  <c r="AA17" i="2"/>
  <c r="AA18" i="2"/>
  <c r="AA19" i="2"/>
  <c r="BA19" i="2" s="1"/>
  <c r="AA20" i="2"/>
  <c r="AA21" i="2"/>
  <c r="AA22" i="2"/>
  <c r="BA22" i="2" s="1"/>
  <c r="AA23" i="2"/>
  <c r="BA23" i="2" s="1"/>
  <c r="AA24" i="2"/>
  <c r="AA25" i="2"/>
  <c r="AA26" i="2"/>
  <c r="AA27" i="2"/>
  <c r="AA28" i="2"/>
  <c r="AA29" i="2"/>
  <c r="BA29" i="2" s="1"/>
  <c r="AA30" i="2"/>
  <c r="AA31" i="2"/>
  <c r="AA32" i="2"/>
  <c r="AA33" i="2"/>
  <c r="AA34" i="2"/>
  <c r="X40" i="2" l="1"/>
  <c r="AA40" i="2"/>
  <c r="BA36" i="2"/>
  <c r="BA34" i="2"/>
  <c r="BA30" i="2"/>
  <c r="BA26" i="2"/>
  <c r="BA24" i="2"/>
  <c r="AT40" i="2"/>
  <c r="BA35" i="2"/>
  <c r="BA31" i="2"/>
  <c r="BA25" i="2"/>
  <c r="J40" i="2" l="1"/>
  <c r="M40" i="2"/>
  <c r="S40" i="2"/>
  <c r="V40" i="2"/>
  <c r="Z40" i="2"/>
  <c r="AC40" i="2"/>
  <c r="AH40" i="2"/>
  <c r="AK40" i="2"/>
  <c r="AN40" i="2"/>
  <c r="AI18" i="2"/>
  <c r="AI40" i="2" l="1"/>
  <c r="AD17" i="2"/>
  <c r="AD18" i="2"/>
  <c r="BA18" i="2" s="1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K17" i="2"/>
  <c r="BA17" i="2" s="1"/>
  <c r="K18" i="2"/>
  <c r="K19" i="2"/>
  <c r="K20" i="2"/>
  <c r="K21" i="2"/>
  <c r="BA21" i="2" s="1"/>
  <c r="K22" i="2"/>
  <c r="K23" i="2"/>
  <c r="K24" i="2"/>
  <c r="K25" i="2"/>
  <c r="K26" i="2"/>
  <c r="K27" i="2"/>
  <c r="K28" i="2"/>
  <c r="K29" i="2"/>
  <c r="K30" i="2"/>
  <c r="K31" i="2"/>
  <c r="K32" i="2"/>
  <c r="K33" i="2"/>
  <c r="AL19" i="2"/>
  <c r="AL40" i="2" s="1"/>
  <c r="AF17" i="2"/>
  <c r="AF18" i="2"/>
  <c r="K40" i="2" l="1"/>
  <c r="BA32" i="2"/>
  <c r="AF40" i="2"/>
  <c r="AD40" i="2"/>
  <c r="Y504" i="3"/>
  <c r="V504" i="3"/>
  <c r="J504" i="3"/>
  <c r="I504" i="3"/>
  <c r="H504" i="3"/>
  <c r="G504" i="3"/>
  <c r="F504" i="3"/>
  <c r="B488" i="3"/>
  <c r="AK467" i="3"/>
  <c r="AK468" i="3" s="1"/>
  <c r="AJ467" i="3"/>
  <c r="AJ468" i="3" s="1"/>
  <c r="AI467" i="3"/>
  <c r="AI468" i="3" s="1"/>
  <c r="AH467" i="3"/>
  <c r="AH468" i="3" s="1"/>
  <c r="AG467" i="3"/>
  <c r="AG468" i="3" s="1"/>
  <c r="AF467" i="3"/>
  <c r="AF468" i="3" s="1"/>
  <c r="AE467" i="3"/>
  <c r="AE468" i="3" s="1"/>
  <c r="AD467" i="3"/>
  <c r="AD468" i="3" s="1"/>
  <c r="AC467" i="3"/>
  <c r="AC468" i="3" s="1"/>
  <c r="AA465" i="3"/>
  <c r="Z465" i="3"/>
  <c r="Y465" i="3"/>
  <c r="X465" i="3"/>
  <c r="W465" i="3"/>
  <c r="V465" i="3"/>
  <c r="U465" i="3"/>
  <c r="T465" i="3"/>
  <c r="J465" i="3"/>
  <c r="I465" i="3"/>
  <c r="H465" i="3"/>
  <c r="G465" i="3"/>
  <c r="E465" i="3"/>
  <c r="AK458" i="3"/>
  <c r="AJ458" i="3"/>
  <c r="AI458" i="3"/>
  <c r="AH458" i="3"/>
  <c r="AG458" i="3"/>
  <c r="AF458" i="3"/>
  <c r="AE458" i="3"/>
  <c r="AD458" i="3"/>
  <c r="AC458" i="3"/>
  <c r="AA458" i="3"/>
  <c r="Z458" i="3"/>
  <c r="Y458" i="3"/>
  <c r="X458" i="3"/>
  <c r="W458" i="3"/>
  <c r="V458" i="3"/>
  <c r="U458" i="3"/>
  <c r="T458" i="3"/>
  <c r="P458" i="3"/>
  <c r="L458" i="3"/>
  <c r="K458" i="3"/>
  <c r="J458" i="3"/>
  <c r="I458" i="3"/>
  <c r="H458" i="3"/>
  <c r="G458" i="3"/>
  <c r="E458" i="3"/>
  <c r="E456" i="3"/>
  <c r="AB455" i="3"/>
  <c r="R454" i="3"/>
  <c r="Q454" i="3"/>
  <c r="N454" i="3"/>
  <c r="M454" i="3"/>
  <c r="F454" i="3"/>
  <c r="AB454" i="3" s="1"/>
  <c r="AA453" i="3"/>
  <c r="Z453" i="3"/>
  <c r="Y453" i="3"/>
  <c r="X453" i="3"/>
  <c r="W453" i="3"/>
  <c r="V453" i="3"/>
  <c r="U453" i="3"/>
  <c r="T453" i="3"/>
  <c r="P453" i="3"/>
  <c r="L453" i="3"/>
  <c r="K453" i="3"/>
  <c r="J453" i="3"/>
  <c r="I453" i="3"/>
  <c r="H453" i="3"/>
  <c r="G453" i="3"/>
  <c r="E453" i="3"/>
  <c r="AB450" i="3"/>
  <c r="AB449" i="3"/>
  <c r="AA448" i="3"/>
  <c r="Z448" i="3"/>
  <c r="Y448" i="3"/>
  <c r="X448" i="3"/>
  <c r="W448" i="3"/>
  <c r="U448" i="3"/>
  <c r="T448" i="3"/>
  <c r="J448" i="3"/>
  <c r="I448" i="3"/>
  <c r="H448" i="3"/>
  <c r="G448" i="3"/>
  <c r="E448" i="3"/>
  <c r="AK445" i="3"/>
  <c r="AJ445" i="3"/>
  <c r="AI445" i="3"/>
  <c r="AH445" i="3"/>
  <c r="AG445" i="3"/>
  <c r="AF445" i="3"/>
  <c r="AE445" i="3"/>
  <c r="AD445" i="3"/>
  <c r="AC445" i="3"/>
  <c r="AB443" i="3"/>
  <c r="AA443" i="3"/>
  <c r="Z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AB442" i="3"/>
  <c r="R441" i="3"/>
  <c r="R465" i="3" s="1"/>
  <c r="Q441" i="3"/>
  <c r="Q465" i="3" s="1"/>
  <c r="P441" i="3"/>
  <c r="N441" i="3"/>
  <c r="N465" i="3" s="1"/>
  <c r="M441" i="3"/>
  <c r="M465" i="3" s="1"/>
  <c r="L441" i="3"/>
  <c r="L465" i="3" s="1"/>
  <c r="K441" i="3"/>
  <c r="K465" i="3" s="1"/>
  <c r="F441" i="3"/>
  <c r="F465" i="3" s="1"/>
  <c r="AB440" i="3"/>
  <c r="M440" i="3"/>
  <c r="AA439" i="3"/>
  <c r="AA445" i="3" s="1"/>
  <c r="Z439" i="3"/>
  <c r="Z445" i="3" s="1"/>
  <c r="X439" i="3"/>
  <c r="X445" i="3" s="1"/>
  <c r="W439" i="3"/>
  <c r="W445" i="3" s="1"/>
  <c r="U439" i="3"/>
  <c r="U445" i="3" s="1"/>
  <c r="T439" i="3"/>
  <c r="T445" i="3" s="1"/>
  <c r="R439" i="3"/>
  <c r="R445" i="3" s="1"/>
  <c r="N439" i="3"/>
  <c r="N445" i="3" s="1"/>
  <c r="J439" i="3"/>
  <c r="J445" i="3" s="1"/>
  <c r="H439" i="3"/>
  <c r="H445" i="3" s="1"/>
  <c r="G439" i="3"/>
  <c r="G445" i="3" s="1"/>
  <c r="E439" i="3"/>
  <c r="E445" i="3" s="1"/>
  <c r="AA434" i="3"/>
  <c r="Z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AB433" i="3"/>
  <c r="AB432" i="3"/>
  <c r="AJ431" i="3"/>
  <c r="AI431" i="3"/>
  <c r="AG431" i="3"/>
  <c r="AE431" i="3"/>
  <c r="AC431" i="3"/>
  <c r="AA431" i="3"/>
  <c r="AA436" i="3" s="1"/>
  <c r="Z431" i="3"/>
  <c r="Z436" i="3" s="1"/>
  <c r="X431" i="3"/>
  <c r="X436" i="3" s="1"/>
  <c r="W431" i="3"/>
  <c r="W436" i="3" s="1"/>
  <c r="U431" i="3"/>
  <c r="U436" i="3" s="1"/>
  <c r="T431" i="3"/>
  <c r="T436" i="3" s="1"/>
  <c r="J431" i="3"/>
  <c r="J436" i="3" s="1"/>
  <c r="I431" i="3"/>
  <c r="I436" i="3" s="1"/>
  <c r="H431" i="3"/>
  <c r="H436" i="3" s="1"/>
  <c r="E431" i="3"/>
  <c r="E436" i="3" s="1"/>
  <c r="AA428" i="3"/>
  <c r="AA464" i="3" s="1"/>
  <c r="Z428" i="3"/>
  <c r="Z464" i="3" s="1"/>
  <c r="Y428" i="3"/>
  <c r="Y464" i="3" s="1"/>
  <c r="X428" i="3"/>
  <c r="X464" i="3" s="1"/>
  <c r="W428" i="3"/>
  <c r="W464" i="3" s="1"/>
  <c r="V428" i="3"/>
  <c r="V464" i="3" s="1"/>
  <c r="U428" i="3"/>
  <c r="U464" i="3" s="1"/>
  <c r="T428" i="3"/>
  <c r="T464" i="3" s="1"/>
  <c r="S428" i="3"/>
  <c r="S464" i="3" s="1"/>
  <c r="R428" i="3"/>
  <c r="R464" i="3" s="1"/>
  <c r="Q428" i="3"/>
  <c r="Q464" i="3" s="1"/>
  <c r="P428" i="3"/>
  <c r="P464" i="3" s="1"/>
  <c r="O428" i="3"/>
  <c r="O464" i="3" s="1"/>
  <c r="N428" i="3"/>
  <c r="N464" i="3" s="1"/>
  <c r="M428" i="3"/>
  <c r="M464" i="3" s="1"/>
  <c r="L428" i="3"/>
  <c r="L464" i="3" s="1"/>
  <c r="K428" i="3"/>
  <c r="K464" i="3" s="1"/>
  <c r="J428" i="3"/>
  <c r="J464" i="3" s="1"/>
  <c r="I428" i="3"/>
  <c r="I464" i="3" s="1"/>
  <c r="H428" i="3"/>
  <c r="H464" i="3" s="1"/>
  <c r="G428" i="3"/>
  <c r="G464" i="3" s="1"/>
  <c r="F428" i="3"/>
  <c r="F464" i="3" s="1"/>
  <c r="E428" i="3"/>
  <c r="E464" i="3" s="1"/>
  <c r="AA427" i="3"/>
  <c r="AA463" i="3" s="1"/>
  <c r="Z427" i="3"/>
  <c r="Z463" i="3" s="1"/>
  <c r="Y427" i="3"/>
  <c r="Y463" i="3" s="1"/>
  <c r="X427" i="3"/>
  <c r="X463" i="3" s="1"/>
  <c r="W427" i="3"/>
  <c r="W463" i="3" s="1"/>
  <c r="V427" i="3"/>
  <c r="V463" i="3" s="1"/>
  <c r="U427" i="3"/>
  <c r="U463" i="3" s="1"/>
  <c r="T427" i="3"/>
  <c r="T463" i="3" s="1"/>
  <c r="S427" i="3"/>
  <c r="R427" i="3"/>
  <c r="Q427" i="3"/>
  <c r="P427" i="3"/>
  <c r="P463" i="3" s="1"/>
  <c r="O427" i="3"/>
  <c r="O463" i="3" s="1"/>
  <c r="N427" i="3"/>
  <c r="M427" i="3"/>
  <c r="L427" i="3"/>
  <c r="L463" i="3" s="1"/>
  <c r="K427" i="3"/>
  <c r="K463" i="3" s="1"/>
  <c r="J427" i="3"/>
  <c r="J463" i="3" s="1"/>
  <c r="I427" i="3"/>
  <c r="I463" i="3" s="1"/>
  <c r="H427" i="3"/>
  <c r="H463" i="3" s="1"/>
  <c r="G427" i="3"/>
  <c r="G463" i="3" s="1"/>
  <c r="F427" i="3"/>
  <c r="E427" i="3"/>
  <c r="E463" i="3" s="1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AB423" i="3"/>
  <c r="AB422" i="3"/>
  <c r="AK421" i="3"/>
  <c r="AJ421" i="3"/>
  <c r="AI421" i="3"/>
  <c r="AH421" i="3"/>
  <c r="AG421" i="3"/>
  <c r="AF421" i="3"/>
  <c r="AE421" i="3"/>
  <c r="AD421" i="3"/>
  <c r="AC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E421" i="3"/>
  <c r="AB419" i="3"/>
  <c r="AB418" i="3"/>
  <c r="AA417" i="3"/>
  <c r="AA426" i="3" s="1"/>
  <c r="Z417" i="3"/>
  <c r="Z426" i="3" s="1"/>
  <c r="Y417" i="3"/>
  <c r="Y426" i="3" s="1"/>
  <c r="X417" i="3"/>
  <c r="X426" i="3" s="1"/>
  <c r="W417" i="3"/>
  <c r="W426" i="3" s="1"/>
  <c r="V417" i="3"/>
  <c r="V426" i="3" s="1"/>
  <c r="U417" i="3"/>
  <c r="U426" i="3" s="1"/>
  <c r="T417" i="3"/>
  <c r="T426" i="3" s="1"/>
  <c r="L417" i="3"/>
  <c r="K417" i="3"/>
  <c r="J417" i="3"/>
  <c r="I417" i="3"/>
  <c r="H417" i="3"/>
  <c r="G417" i="3"/>
  <c r="E417" i="3"/>
  <c r="AJ416" i="3"/>
  <c r="AM405" i="3"/>
  <c r="R401" i="3"/>
  <c r="Q401" i="3"/>
  <c r="O401" i="3"/>
  <c r="N401" i="3"/>
  <c r="M401" i="3"/>
  <c r="F401" i="3"/>
  <c r="AA400" i="3"/>
  <c r="AA456" i="3" s="1"/>
  <c r="Z400" i="3"/>
  <c r="Z456" i="3" s="1"/>
  <c r="Y400" i="3"/>
  <c r="X400" i="3"/>
  <c r="X456" i="3" s="1"/>
  <c r="W400" i="3"/>
  <c r="W456" i="3" s="1"/>
  <c r="V400" i="3"/>
  <c r="V456" i="3" s="1"/>
  <c r="U400" i="3"/>
  <c r="U456" i="3" s="1"/>
  <c r="T400" i="3"/>
  <c r="T456" i="3" s="1"/>
  <c r="J400" i="3"/>
  <c r="J456" i="3" s="1"/>
  <c r="I400" i="3"/>
  <c r="I456" i="3" s="1"/>
  <c r="H400" i="3"/>
  <c r="H456" i="3" s="1"/>
  <c r="G400" i="3"/>
  <c r="G456" i="3" s="1"/>
  <c r="F400" i="3"/>
  <c r="F456" i="3" s="1"/>
  <c r="AB399" i="3"/>
  <c r="R399" i="3"/>
  <c r="Q399" i="3"/>
  <c r="P399" i="3"/>
  <c r="N399" i="3"/>
  <c r="M399" i="3"/>
  <c r="L399" i="3"/>
  <c r="K399" i="3"/>
  <c r="AB398" i="3"/>
  <c r="R398" i="3"/>
  <c r="Q398" i="3"/>
  <c r="P398" i="3"/>
  <c r="N398" i="3"/>
  <c r="M398" i="3"/>
  <c r="L398" i="3"/>
  <c r="K398" i="3"/>
  <c r="AJ396" i="3"/>
  <c r="AI396" i="3"/>
  <c r="AG396" i="3"/>
  <c r="AE396" i="3"/>
  <c r="AC396" i="3"/>
  <c r="AB396" i="3"/>
  <c r="AB452" i="3" s="1"/>
  <c r="AA396" i="3"/>
  <c r="AA452" i="3" s="1"/>
  <c r="Z396" i="3"/>
  <c r="Z452" i="3" s="1"/>
  <c r="X396" i="3"/>
  <c r="X452" i="3" s="1"/>
  <c r="V396" i="3"/>
  <c r="V452" i="3" s="1"/>
  <c r="U396" i="3"/>
  <c r="U452" i="3" s="1"/>
  <c r="AH395" i="3"/>
  <c r="AF395" i="3"/>
  <c r="W395" i="3"/>
  <c r="R395" i="3"/>
  <c r="N395" i="3"/>
  <c r="I395" i="3"/>
  <c r="Q395" i="3" s="1"/>
  <c r="H395" i="3"/>
  <c r="P395" i="3" s="1"/>
  <c r="G395" i="3"/>
  <c r="K395" i="3" s="1"/>
  <c r="AH394" i="3"/>
  <c r="AF394" i="3"/>
  <c r="Y394" i="3"/>
  <c r="W394" i="3"/>
  <c r="R394" i="3"/>
  <c r="Q394" i="3"/>
  <c r="P394" i="3"/>
  <c r="N394" i="3"/>
  <c r="M394" i="3"/>
  <c r="L394" i="3"/>
  <c r="K394" i="3"/>
  <c r="F394" i="3"/>
  <c r="AH393" i="3"/>
  <c r="AF393" i="3"/>
  <c r="W393" i="3"/>
  <c r="T393" i="3"/>
  <c r="R393" i="3"/>
  <c r="P393" i="3"/>
  <c r="N393" i="3"/>
  <c r="L393" i="3"/>
  <c r="K393" i="3"/>
  <c r="I393" i="3"/>
  <c r="Q393" i="3" s="1"/>
  <c r="E393" i="3"/>
  <c r="F393" i="3" s="1"/>
  <c r="AH392" i="3"/>
  <c r="AF392" i="3"/>
  <c r="W392" i="3"/>
  <c r="T392" i="3"/>
  <c r="R392" i="3"/>
  <c r="Q392" i="3"/>
  <c r="P392" i="3"/>
  <c r="N392" i="3"/>
  <c r="M392" i="3"/>
  <c r="L392" i="3"/>
  <c r="E392" i="3"/>
  <c r="AH391" i="3"/>
  <c r="AF391" i="3"/>
  <c r="W391" i="3"/>
  <c r="R391" i="3"/>
  <c r="P391" i="3"/>
  <c r="N391" i="3"/>
  <c r="L391" i="3"/>
  <c r="I391" i="3"/>
  <c r="Q391" i="3" s="1"/>
  <c r="G391" i="3"/>
  <c r="K391" i="3" s="1"/>
  <c r="AH390" i="3"/>
  <c r="AF390" i="3"/>
  <c r="W390" i="3"/>
  <c r="T390" i="3"/>
  <c r="R390" i="3"/>
  <c r="P390" i="3"/>
  <c r="N390" i="3"/>
  <c r="L390" i="3"/>
  <c r="I390" i="3"/>
  <c r="G390" i="3"/>
  <c r="K390" i="3" s="1"/>
  <c r="AH389" i="3"/>
  <c r="AF389" i="3"/>
  <c r="W389" i="3"/>
  <c r="T389" i="3"/>
  <c r="R389" i="3"/>
  <c r="P389" i="3"/>
  <c r="N389" i="3"/>
  <c r="L389" i="3"/>
  <c r="I389" i="3"/>
  <c r="Q389" i="3" s="1"/>
  <c r="G389" i="3"/>
  <c r="K389" i="3" s="1"/>
  <c r="AH388" i="3"/>
  <c r="AF388" i="3"/>
  <c r="W388" i="3"/>
  <c r="T388" i="3"/>
  <c r="R388" i="3"/>
  <c r="Q388" i="3"/>
  <c r="P388" i="3"/>
  <c r="N388" i="3"/>
  <c r="M388" i="3"/>
  <c r="L388" i="3"/>
  <c r="G388" i="3"/>
  <c r="K388" i="3" s="1"/>
  <c r="AH387" i="3"/>
  <c r="AF387" i="3"/>
  <c r="W387" i="3"/>
  <c r="T387" i="3"/>
  <c r="R387" i="3"/>
  <c r="P387" i="3"/>
  <c r="N387" i="3"/>
  <c r="L387" i="3"/>
  <c r="I387" i="3"/>
  <c r="G387" i="3"/>
  <c r="K387" i="3" s="1"/>
  <c r="AH386" i="3"/>
  <c r="AF386" i="3"/>
  <c r="W386" i="3"/>
  <c r="T386" i="3"/>
  <c r="R386" i="3"/>
  <c r="Q386" i="3"/>
  <c r="P386" i="3"/>
  <c r="N386" i="3"/>
  <c r="M386" i="3"/>
  <c r="L386" i="3"/>
  <c r="G386" i="3"/>
  <c r="K386" i="3" s="1"/>
  <c r="AH385" i="3"/>
  <c r="AF385" i="3"/>
  <c r="W385" i="3"/>
  <c r="T385" i="3"/>
  <c r="R385" i="3"/>
  <c r="N385" i="3"/>
  <c r="I385" i="3"/>
  <c r="Q385" i="3" s="1"/>
  <c r="H385" i="3"/>
  <c r="P385" i="3" s="1"/>
  <c r="G385" i="3"/>
  <c r="K385" i="3" s="1"/>
  <c r="AH384" i="3"/>
  <c r="AF384" i="3"/>
  <c r="W384" i="3"/>
  <c r="T384" i="3"/>
  <c r="R384" i="3"/>
  <c r="Q384" i="3"/>
  <c r="P384" i="3"/>
  <c r="N384" i="3"/>
  <c r="M384" i="3"/>
  <c r="L384" i="3"/>
  <c r="G384" i="3"/>
  <c r="K384" i="3" s="1"/>
  <c r="AH383" i="3"/>
  <c r="AF383" i="3"/>
  <c r="W383" i="3"/>
  <c r="R383" i="3"/>
  <c r="Q383" i="3"/>
  <c r="P383" i="3"/>
  <c r="N383" i="3"/>
  <c r="M383" i="3"/>
  <c r="L383" i="3"/>
  <c r="G383" i="3"/>
  <c r="K383" i="3" s="1"/>
  <c r="AH382" i="3"/>
  <c r="AF382" i="3"/>
  <c r="W382" i="3"/>
  <c r="T382" i="3"/>
  <c r="R382" i="3"/>
  <c r="P382" i="3"/>
  <c r="N382" i="3"/>
  <c r="L382" i="3"/>
  <c r="I382" i="3"/>
  <c r="Q382" i="3" s="1"/>
  <c r="G382" i="3"/>
  <c r="K382" i="3" s="1"/>
  <c r="AH381" i="3"/>
  <c r="AF381" i="3"/>
  <c r="W381" i="3"/>
  <c r="R381" i="3"/>
  <c r="Q381" i="3"/>
  <c r="P381" i="3"/>
  <c r="N381" i="3"/>
  <c r="M381" i="3"/>
  <c r="L381" i="3"/>
  <c r="G381" i="3"/>
  <c r="K381" i="3" s="1"/>
  <c r="AH380" i="3"/>
  <c r="AF380" i="3"/>
  <c r="W380" i="3"/>
  <c r="T380" i="3"/>
  <c r="R380" i="3"/>
  <c r="P380" i="3"/>
  <c r="N380" i="3"/>
  <c r="L380" i="3"/>
  <c r="I380" i="3"/>
  <c r="G380" i="3"/>
  <c r="K380" i="3" s="1"/>
  <c r="AH379" i="3"/>
  <c r="AF379" i="3"/>
  <c r="W379" i="3"/>
  <c r="Q379" i="3"/>
  <c r="P379" i="3"/>
  <c r="M379" i="3"/>
  <c r="L379" i="3"/>
  <c r="J379" i="3"/>
  <c r="R379" i="3" s="1"/>
  <c r="G379" i="3"/>
  <c r="K379" i="3" s="1"/>
  <c r="AH378" i="3"/>
  <c r="AF378" i="3"/>
  <c r="W378" i="3"/>
  <c r="T378" i="3"/>
  <c r="R378" i="3"/>
  <c r="P378" i="3"/>
  <c r="N378" i="3"/>
  <c r="L378" i="3"/>
  <c r="I378" i="3"/>
  <c r="G378" i="3"/>
  <c r="K378" i="3" s="1"/>
  <c r="AH377" i="3"/>
  <c r="AF377" i="3"/>
  <c r="W377" i="3"/>
  <c r="T377" i="3"/>
  <c r="R377" i="3"/>
  <c r="P377" i="3"/>
  <c r="N377" i="3"/>
  <c r="L377" i="3"/>
  <c r="I377" i="3"/>
  <c r="M377" i="3" s="1"/>
  <c r="G377" i="3"/>
  <c r="K377" i="3" s="1"/>
  <c r="AH376" i="3"/>
  <c r="AF376" i="3"/>
  <c r="W376" i="3"/>
  <c r="T376" i="3"/>
  <c r="R376" i="3"/>
  <c r="Q376" i="3"/>
  <c r="P376" i="3"/>
  <c r="N376" i="3"/>
  <c r="M376" i="3"/>
  <c r="L376" i="3"/>
  <c r="K376" i="3"/>
  <c r="E376" i="3"/>
  <c r="F376" i="3" s="1"/>
  <c r="AH375" i="3"/>
  <c r="AF375" i="3"/>
  <c r="W375" i="3"/>
  <c r="T375" i="3"/>
  <c r="R375" i="3"/>
  <c r="P375" i="3"/>
  <c r="N375" i="3"/>
  <c r="L375" i="3"/>
  <c r="K375" i="3"/>
  <c r="I375" i="3"/>
  <c r="Q375" i="3" s="1"/>
  <c r="E375" i="3"/>
  <c r="F375" i="3" s="1"/>
  <c r="AH374" i="3"/>
  <c r="AF374" i="3"/>
  <c r="W374" i="3"/>
  <c r="T374" i="3"/>
  <c r="R374" i="3"/>
  <c r="Q374" i="3"/>
  <c r="P374" i="3"/>
  <c r="N374" i="3"/>
  <c r="M374" i="3"/>
  <c r="L374" i="3"/>
  <c r="K374" i="3"/>
  <c r="E374" i="3"/>
  <c r="Y374" i="3" s="1"/>
  <c r="AH373" i="3"/>
  <c r="AF373" i="3"/>
  <c r="W373" i="3"/>
  <c r="T373" i="3"/>
  <c r="R373" i="3"/>
  <c r="P373" i="3"/>
  <c r="N373" i="3"/>
  <c r="L373" i="3"/>
  <c r="I373" i="3"/>
  <c r="Q373" i="3" s="1"/>
  <c r="G373" i="3"/>
  <c r="K373" i="3" s="1"/>
  <c r="AH372" i="3"/>
  <c r="AF372" i="3"/>
  <c r="W372" i="3"/>
  <c r="T372" i="3"/>
  <c r="R372" i="3"/>
  <c r="Q372" i="3"/>
  <c r="P372" i="3"/>
  <c r="N372" i="3"/>
  <c r="M372" i="3"/>
  <c r="L372" i="3"/>
  <c r="G372" i="3"/>
  <c r="K372" i="3" s="1"/>
  <c r="AH371" i="3"/>
  <c r="AF371" i="3"/>
  <c r="W371" i="3"/>
  <c r="T371" i="3"/>
  <c r="R371" i="3"/>
  <c r="Q371" i="3"/>
  <c r="P371" i="3"/>
  <c r="N371" i="3"/>
  <c r="M371" i="3"/>
  <c r="L371" i="3"/>
  <c r="G371" i="3"/>
  <c r="K371" i="3" s="1"/>
  <c r="AH370" i="3"/>
  <c r="AF370" i="3"/>
  <c r="W370" i="3"/>
  <c r="T370" i="3"/>
  <c r="R370" i="3"/>
  <c r="Q370" i="3"/>
  <c r="P370" i="3"/>
  <c r="N370" i="3"/>
  <c r="M370" i="3"/>
  <c r="L370" i="3"/>
  <c r="E370" i="3"/>
  <c r="F370" i="3" s="1"/>
  <c r="AH369" i="3"/>
  <c r="AF369" i="3"/>
  <c r="W369" i="3"/>
  <c r="T369" i="3"/>
  <c r="R369" i="3"/>
  <c r="P369" i="3"/>
  <c r="N369" i="3"/>
  <c r="L369" i="3"/>
  <c r="I369" i="3"/>
  <c r="Q369" i="3" s="1"/>
  <c r="G369" i="3"/>
  <c r="K369" i="3" s="1"/>
  <c r="AH368" i="3"/>
  <c r="AF368" i="3"/>
  <c r="R368" i="3"/>
  <c r="P368" i="3"/>
  <c r="N368" i="3"/>
  <c r="L368" i="3"/>
  <c r="I368" i="3"/>
  <c r="M368" i="3" s="1"/>
  <c r="G368" i="3"/>
  <c r="K368" i="3" s="1"/>
  <c r="AH367" i="3"/>
  <c r="AF367" i="3"/>
  <c r="W367" i="3"/>
  <c r="R367" i="3"/>
  <c r="Q367" i="3"/>
  <c r="P367" i="3"/>
  <c r="N367" i="3"/>
  <c r="M367" i="3"/>
  <c r="L367" i="3"/>
  <c r="G367" i="3"/>
  <c r="K367" i="3" s="1"/>
  <c r="AH366" i="3"/>
  <c r="AF366" i="3"/>
  <c r="W366" i="3"/>
  <c r="T366" i="3"/>
  <c r="R366" i="3"/>
  <c r="Q366" i="3"/>
  <c r="P366" i="3"/>
  <c r="N366" i="3"/>
  <c r="M366" i="3"/>
  <c r="L366" i="3"/>
  <c r="E366" i="3"/>
  <c r="F366" i="3" s="1"/>
  <c r="AH365" i="3"/>
  <c r="AF365" i="3"/>
  <c r="W365" i="3"/>
  <c r="T365" i="3"/>
  <c r="R365" i="3"/>
  <c r="Q365" i="3"/>
  <c r="P365" i="3"/>
  <c r="N365" i="3"/>
  <c r="M365" i="3"/>
  <c r="L365" i="3"/>
  <c r="G365" i="3"/>
  <c r="K365" i="3" s="1"/>
  <c r="AH364" i="3"/>
  <c r="AF364" i="3"/>
  <c r="W364" i="3"/>
  <c r="T364" i="3"/>
  <c r="R364" i="3"/>
  <c r="Q364" i="3"/>
  <c r="P364" i="3"/>
  <c r="N364" i="3"/>
  <c r="M364" i="3"/>
  <c r="L364" i="3"/>
  <c r="E364" i="3"/>
  <c r="AH363" i="3"/>
  <c r="AF363" i="3"/>
  <c r="W363" i="3"/>
  <c r="T363" i="3"/>
  <c r="R363" i="3"/>
  <c r="Q363" i="3"/>
  <c r="P363" i="3"/>
  <c r="N363" i="3"/>
  <c r="M363" i="3"/>
  <c r="L363" i="3"/>
  <c r="E363" i="3"/>
  <c r="F363" i="3" s="1"/>
  <c r="AH362" i="3"/>
  <c r="AF362" i="3"/>
  <c r="W362" i="3"/>
  <c r="T362" i="3"/>
  <c r="R362" i="3"/>
  <c r="Q362" i="3"/>
  <c r="P362" i="3"/>
  <c r="N362" i="3"/>
  <c r="M362" i="3"/>
  <c r="L362" i="3"/>
  <c r="K362" i="3"/>
  <c r="E362" i="3"/>
  <c r="Y362" i="3" s="1"/>
  <c r="AH361" i="3"/>
  <c r="AF361" i="3"/>
  <c r="W361" i="3"/>
  <c r="T361" i="3"/>
  <c r="R361" i="3"/>
  <c r="Q361" i="3"/>
  <c r="P361" i="3"/>
  <c r="N361" i="3"/>
  <c r="M361" i="3"/>
  <c r="L361" i="3"/>
  <c r="G361" i="3"/>
  <c r="K361" i="3" s="1"/>
  <c r="AH360" i="3"/>
  <c r="AF360" i="3"/>
  <c r="W360" i="3"/>
  <c r="R360" i="3"/>
  <c r="P360" i="3"/>
  <c r="N360" i="3"/>
  <c r="L360" i="3"/>
  <c r="I360" i="3"/>
  <c r="M360" i="3" s="1"/>
  <c r="G360" i="3"/>
  <c r="K360" i="3" s="1"/>
  <c r="AH359" i="3"/>
  <c r="AF359" i="3"/>
  <c r="W359" i="3"/>
  <c r="T359" i="3"/>
  <c r="R359" i="3"/>
  <c r="Q359" i="3"/>
  <c r="P359" i="3"/>
  <c r="N359" i="3"/>
  <c r="M359" i="3"/>
  <c r="L359" i="3"/>
  <c r="K359" i="3"/>
  <c r="E359" i="3"/>
  <c r="Y359" i="3" s="1"/>
  <c r="AH358" i="3"/>
  <c r="AF358" i="3"/>
  <c r="W358" i="3"/>
  <c r="T358" i="3"/>
  <c r="R358" i="3"/>
  <c r="P358" i="3"/>
  <c r="N358" i="3"/>
  <c r="L358" i="3"/>
  <c r="I358" i="3"/>
  <c r="Q358" i="3" s="1"/>
  <c r="G358" i="3"/>
  <c r="K358" i="3" s="1"/>
  <c r="AH357" i="3"/>
  <c r="AF357" i="3"/>
  <c r="W357" i="3"/>
  <c r="T357" i="3"/>
  <c r="R357" i="3"/>
  <c r="Q357" i="3"/>
  <c r="P357" i="3"/>
  <c r="N357" i="3"/>
  <c r="M357" i="3"/>
  <c r="L357" i="3"/>
  <c r="G357" i="3"/>
  <c r="K357" i="3" s="1"/>
  <c r="AH356" i="3"/>
  <c r="AF356" i="3"/>
  <c r="W356" i="3"/>
  <c r="R356" i="3"/>
  <c r="Q356" i="3"/>
  <c r="P356" i="3"/>
  <c r="N356" i="3"/>
  <c r="M356" i="3"/>
  <c r="L356" i="3"/>
  <c r="K356" i="3"/>
  <c r="AH355" i="3"/>
  <c r="AF355" i="3"/>
  <c r="W355" i="3"/>
  <c r="R355" i="3"/>
  <c r="Q355" i="3"/>
  <c r="P355" i="3"/>
  <c r="N355" i="3"/>
  <c r="M355" i="3"/>
  <c r="L355" i="3"/>
  <c r="E355" i="3"/>
  <c r="G355" i="3" s="1"/>
  <c r="K355" i="3" s="1"/>
  <c r="AH354" i="3"/>
  <c r="AF354" i="3"/>
  <c r="W354" i="3"/>
  <c r="R354" i="3"/>
  <c r="P354" i="3"/>
  <c r="N354" i="3"/>
  <c r="L354" i="3"/>
  <c r="I354" i="3"/>
  <c r="Q354" i="3" s="1"/>
  <c r="E354" i="3"/>
  <c r="F354" i="3" s="1"/>
  <c r="AH353" i="3"/>
  <c r="AF353" i="3"/>
  <c r="W353" i="3"/>
  <c r="R353" i="3"/>
  <c r="Q353" i="3"/>
  <c r="P353" i="3"/>
  <c r="N353" i="3"/>
  <c r="M353" i="3"/>
  <c r="L353" i="3"/>
  <c r="E353" i="3"/>
  <c r="Y353" i="3" s="1"/>
  <c r="AH352" i="3"/>
  <c r="AF352" i="3"/>
  <c r="W352" i="3"/>
  <c r="T352" i="3"/>
  <c r="R352" i="3"/>
  <c r="Q352" i="3"/>
  <c r="P352" i="3"/>
  <c r="N352" i="3"/>
  <c r="M352" i="3"/>
  <c r="L352" i="3"/>
  <c r="E352" i="3"/>
  <c r="Y352" i="3" s="1"/>
  <c r="AH351" i="3"/>
  <c r="AF351" i="3"/>
  <c r="W351" i="3"/>
  <c r="Q351" i="3"/>
  <c r="P351" i="3"/>
  <c r="M351" i="3"/>
  <c r="L351" i="3"/>
  <c r="J351" i="3"/>
  <c r="J396" i="3" s="1"/>
  <c r="G351" i="3"/>
  <c r="K351" i="3" s="1"/>
  <c r="AH350" i="3"/>
  <c r="AF350" i="3"/>
  <c r="W350" i="3"/>
  <c r="T350" i="3"/>
  <c r="R350" i="3"/>
  <c r="P350" i="3"/>
  <c r="N350" i="3"/>
  <c r="L350" i="3"/>
  <c r="K350" i="3"/>
  <c r="I350" i="3"/>
  <c r="Q350" i="3" s="1"/>
  <c r="E350" i="3"/>
  <c r="F350" i="3" s="1"/>
  <c r="AH349" i="3"/>
  <c r="AF349" i="3"/>
  <c r="W349" i="3"/>
  <c r="T349" i="3"/>
  <c r="R349" i="3"/>
  <c r="P349" i="3"/>
  <c r="N349" i="3"/>
  <c r="L349" i="3"/>
  <c r="I349" i="3"/>
  <c r="Q349" i="3" s="1"/>
  <c r="G349" i="3"/>
  <c r="K349" i="3" s="1"/>
  <c r="AH348" i="3"/>
  <c r="AF348" i="3"/>
  <c r="W348" i="3"/>
  <c r="T348" i="3"/>
  <c r="R348" i="3"/>
  <c r="P348" i="3"/>
  <c r="N348" i="3"/>
  <c r="L348" i="3"/>
  <c r="I348" i="3"/>
  <c r="G348" i="3"/>
  <c r="K348" i="3" s="1"/>
  <c r="AH347" i="3"/>
  <c r="AF347" i="3"/>
  <c r="W347" i="3"/>
  <c r="T347" i="3"/>
  <c r="R347" i="3"/>
  <c r="P347" i="3"/>
  <c r="N347" i="3"/>
  <c r="L347" i="3"/>
  <c r="I347" i="3"/>
  <c r="Q347" i="3" s="1"/>
  <c r="G347" i="3"/>
  <c r="AH346" i="3"/>
  <c r="AH396" i="3" s="1"/>
  <c r="AF346" i="3"/>
  <c r="AF396" i="3" s="1"/>
  <c r="W346" i="3"/>
  <c r="W396" i="3" s="1"/>
  <c r="T346" i="3"/>
  <c r="T396" i="3" s="1"/>
  <c r="R346" i="3"/>
  <c r="P346" i="3"/>
  <c r="N346" i="3"/>
  <c r="L346" i="3"/>
  <c r="K346" i="3"/>
  <c r="I346" i="3"/>
  <c r="E346" i="3"/>
  <c r="AK345" i="3"/>
  <c r="V343" i="3"/>
  <c r="V448" i="3" s="1"/>
  <c r="R343" i="3"/>
  <c r="R448" i="3" s="1"/>
  <c r="Q343" i="3"/>
  <c r="Q448" i="3" s="1"/>
  <c r="P343" i="3"/>
  <c r="P448" i="3" s="1"/>
  <c r="N343" i="3"/>
  <c r="N448" i="3" s="1"/>
  <c r="M343" i="3"/>
  <c r="M448" i="3" s="1"/>
  <c r="L343" i="3"/>
  <c r="L448" i="3" s="1"/>
  <c r="K343" i="3"/>
  <c r="K448" i="3" s="1"/>
  <c r="F343" i="3"/>
  <c r="F448" i="3" s="1"/>
  <c r="AI341" i="3"/>
  <c r="AG341" i="3"/>
  <c r="AE341" i="3"/>
  <c r="AC341" i="3"/>
  <c r="AB341" i="3"/>
  <c r="AB447" i="3" s="1"/>
  <c r="AA341" i="3"/>
  <c r="AA447" i="3" s="1"/>
  <c r="Z341" i="3"/>
  <c r="Z447" i="3" s="1"/>
  <c r="X341" i="3"/>
  <c r="X447" i="3" s="1"/>
  <c r="V341" i="3"/>
  <c r="V447" i="3" s="1"/>
  <c r="U341" i="3"/>
  <c r="U447" i="3" s="1"/>
  <c r="J341" i="3"/>
  <c r="J447" i="3" s="1"/>
  <c r="I341" i="3"/>
  <c r="I447" i="3" s="1"/>
  <c r="H341" i="3"/>
  <c r="H447" i="3" s="1"/>
  <c r="AH340" i="3"/>
  <c r="AF340" i="3"/>
  <c r="W340" i="3"/>
  <c r="T340" i="3"/>
  <c r="R340" i="3"/>
  <c r="Q340" i="3"/>
  <c r="P340" i="3"/>
  <c r="N340" i="3"/>
  <c r="M340" i="3"/>
  <c r="L340" i="3"/>
  <c r="K340" i="3"/>
  <c r="AH339" i="3"/>
  <c r="AF339" i="3"/>
  <c r="W339" i="3"/>
  <c r="T339" i="3"/>
  <c r="R339" i="3"/>
  <c r="Q339" i="3"/>
  <c r="P339" i="3"/>
  <c r="N339" i="3"/>
  <c r="M339" i="3"/>
  <c r="L339" i="3"/>
  <c r="K339" i="3"/>
  <c r="AH338" i="3"/>
  <c r="AF338" i="3"/>
  <c r="W338" i="3"/>
  <c r="T338" i="3"/>
  <c r="R338" i="3"/>
  <c r="Q338" i="3"/>
  <c r="P338" i="3"/>
  <c r="N338" i="3"/>
  <c r="M338" i="3"/>
  <c r="L338" i="3"/>
  <c r="K338" i="3"/>
  <c r="AH337" i="3"/>
  <c r="AF337" i="3"/>
  <c r="W337" i="3"/>
  <c r="T337" i="3"/>
  <c r="R337" i="3"/>
  <c r="Q337" i="3"/>
  <c r="P337" i="3"/>
  <c r="N337" i="3"/>
  <c r="M337" i="3"/>
  <c r="L337" i="3"/>
  <c r="K337" i="3"/>
  <c r="AH336" i="3"/>
  <c r="AF336" i="3"/>
  <c r="W336" i="3"/>
  <c r="T336" i="3"/>
  <c r="R336" i="3"/>
  <c r="Q336" i="3"/>
  <c r="P336" i="3"/>
  <c r="N336" i="3"/>
  <c r="M336" i="3"/>
  <c r="L336" i="3"/>
  <c r="K336" i="3"/>
  <c r="AH335" i="3"/>
  <c r="AF335" i="3"/>
  <c r="W335" i="3"/>
  <c r="T335" i="3"/>
  <c r="R335" i="3"/>
  <c r="Q335" i="3"/>
  <c r="P335" i="3"/>
  <c r="N335" i="3"/>
  <c r="M335" i="3"/>
  <c r="L335" i="3"/>
  <c r="K335" i="3"/>
  <c r="AH334" i="3"/>
  <c r="AF334" i="3"/>
  <c r="W334" i="3"/>
  <c r="T334" i="3"/>
  <c r="R334" i="3"/>
  <c r="Q334" i="3"/>
  <c r="P334" i="3"/>
  <c r="N334" i="3"/>
  <c r="M334" i="3"/>
  <c r="L334" i="3"/>
  <c r="K334" i="3"/>
  <c r="E334" i="3"/>
  <c r="Y334" i="3" s="1"/>
  <c r="AH333" i="3"/>
  <c r="AF333" i="3"/>
  <c r="W333" i="3"/>
  <c r="R333" i="3"/>
  <c r="Q333" i="3"/>
  <c r="P333" i="3"/>
  <c r="N333" i="3"/>
  <c r="M333" i="3"/>
  <c r="L333" i="3"/>
  <c r="E333" i="3"/>
  <c r="Y333" i="3" s="1"/>
  <c r="AH332" i="3"/>
  <c r="AF332" i="3"/>
  <c r="W332" i="3"/>
  <c r="T332" i="3"/>
  <c r="R332" i="3"/>
  <c r="Q332" i="3"/>
  <c r="P332" i="3"/>
  <c r="N332" i="3"/>
  <c r="M332" i="3"/>
  <c r="L332" i="3"/>
  <c r="G332" i="3"/>
  <c r="K332" i="3" s="1"/>
  <c r="E332" i="3"/>
  <c r="AH331" i="3"/>
  <c r="AF331" i="3"/>
  <c r="W331" i="3"/>
  <c r="T331" i="3"/>
  <c r="R331" i="3"/>
  <c r="Q331" i="3"/>
  <c r="P331" i="3"/>
  <c r="N331" i="3"/>
  <c r="M331" i="3"/>
  <c r="L331" i="3"/>
  <c r="K331" i="3"/>
  <c r="AH330" i="3"/>
  <c r="AF330" i="3"/>
  <c r="W330" i="3"/>
  <c r="T330" i="3"/>
  <c r="R330" i="3"/>
  <c r="Q330" i="3"/>
  <c r="P330" i="3"/>
  <c r="N330" i="3"/>
  <c r="M330" i="3"/>
  <c r="L330" i="3"/>
  <c r="K330" i="3"/>
  <c r="AH329" i="3"/>
  <c r="AF329" i="3"/>
  <c r="W329" i="3"/>
  <c r="T329" i="3"/>
  <c r="R329" i="3"/>
  <c r="Q329" i="3"/>
  <c r="P329" i="3"/>
  <c r="N329" i="3"/>
  <c r="M329" i="3"/>
  <c r="L329" i="3"/>
  <c r="K329" i="3"/>
  <c r="AH328" i="3"/>
  <c r="AF328" i="3"/>
  <c r="W328" i="3"/>
  <c r="T328" i="3"/>
  <c r="R328" i="3"/>
  <c r="Q328" i="3"/>
  <c r="P328" i="3"/>
  <c r="N328" i="3"/>
  <c r="M328" i="3"/>
  <c r="L328" i="3"/>
  <c r="K328" i="3"/>
  <c r="E328" i="3"/>
  <c r="Y328" i="3" s="1"/>
  <c r="AH327" i="3"/>
  <c r="AF327" i="3"/>
  <c r="W327" i="3"/>
  <c r="R327" i="3"/>
  <c r="Q327" i="3"/>
  <c r="P327" i="3"/>
  <c r="N327" i="3"/>
  <c r="M327" i="3"/>
  <c r="L327" i="3"/>
  <c r="K327" i="3"/>
  <c r="AH326" i="3"/>
  <c r="AF326" i="3"/>
  <c r="W326" i="3"/>
  <c r="T326" i="3"/>
  <c r="R326" i="3"/>
  <c r="Q326" i="3"/>
  <c r="P326" i="3"/>
  <c r="N326" i="3"/>
  <c r="M326" i="3"/>
  <c r="L326" i="3"/>
  <c r="K326" i="3"/>
  <c r="AH325" i="3"/>
  <c r="AF325" i="3"/>
  <c r="W325" i="3"/>
  <c r="T325" i="3"/>
  <c r="R325" i="3"/>
  <c r="Q325" i="3"/>
  <c r="P325" i="3"/>
  <c r="N325" i="3"/>
  <c r="M325" i="3"/>
  <c r="L325" i="3"/>
  <c r="E325" i="3"/>
  <c r="F325" i="3" s="1"/>
  <c r="AH324" i="3"/>
  <c r="AF324" i="3"/>
  <c r="W324" i="3"/>
  <c r="T324" i="3"/>
  <c r="R324" i="3"/>
  <c r="Q324" i="3"/>
  <c r="P324" i="3"/>
  <c r="N324" i="3"/>
  <c r="M324" i="3"/>
  <c r="L324" i="3"/>
  <c r="K324" i="3"/>
  <c r="AH323" i="3"/>
  <c r="AF323" i="3"/>
  <c r="W323" i="3"/>
  <c r="T323" i="3"/>
  <c r="R323" i="3"/>
  <c r="Q323" i="3"/>
  <c r="P323" i="3"/>
  <c r="N323" i="3"/>
  <c r="M323" i="3"/>
  <c r="L323" i="3"/>
  <c r="K323" i="3"/>
  <c r="AH322" i="3"/>
  <c r="AF322" i="3"/>
  <c r="W322" i="3"/>
  <c r="T322" i="3"/>
  <c r="R322" i="3"/>
  <c r="Q322" i="3"/>
  <c r="P322" i="3"/>
  <c r="N322" i="3"/>
  <c r="M322" i="3"/>
  <c r="L322" i="3"/>
  <c r="K322" i="3"/>
  <c r="AH321" i="3"/>
  <c r="AF321" i="3"/>
  <c r="W321" i="3"/>
  <c r="T321" i="3"/>
  <c r="R321" i="3"/>
  <c r="Q321" i="3"/>
  <c r="P321" i="3"/>
  <c r="N321" i="3"/>
  <c r="M321" i="3"/>
  <c r="L321" i="3"/>
  <c r="K321" i="3"/>
  <c r="AH320" i="3"/>
  <c r="AF320" i="3"/>
  <c r="W320" i="3"/>
  <c r="T320" i="3"/>
  <c r="R320" i="3"/>
  <c r="Q320" i="3"/>
  <c r="P320" i="3"/>
  <c r="N320" i="3"/>
  <c r="M320" i="3"/>
  <c r="L320" i="3"/>
  <c r="K320" i="3"/>
  <c r="AH319" i="3"/>
  <c r="AF319" i="3"/>
  <c r="W319" i="3"/>
  <c r="T319" i="3"/>
  <c r="R319" i="3"/>
  <c r="Q319" i="3"/>
  <c r="P319" i="3"/>
  <c r="N319" i="3"/>
  <c r="M319" i="3"/>
  <c r="L319" i="3"/>
  <c r="K319" i="3"/>
  <c r="AH318" i="3"/>
  <c r="AF318" i="3"/>
  <c r="W318" i="3"/>
  <c r="R318" i="3"/>
  <c r="Q318" i="3"/>
  <c r="P318" i="3"/>
  <c r="N318" i="3"/>
  <c r="M318" i="3"/>
  <c r="L318" i="3"/>
  <c r="K318" i="3"/>
  <c r="AH317" i="3"/>
  <c r="AF317" i="3"/>
  <c r="W317" i="3"/>
  <c r="T317" i="3"/>
  <c r="R317" i="3"/>
  <c r="Q317" i="3"/>
  <c r="P317" i="3"/>
  <c r="N317" i="3"/>
  <c r="M317" i="3"/>
  <c r="L317" i="3"/>
  <c r="K317" i="3"/>
  <c r="AL316" i="3"/>
  <c r="AH316" i="3"/>
  <c r="AF316" i="3"/>
  <c r="W316" i="3"/>
  <c r="T316" i="3"/>
  <c r="R316" i="3"/>
  <c r="Q316" i="3"/>
  <c r="P316" i="3"/>
  <c r="N316" i="3"/>
  <c r="M316" i="3"/>
  <c r="L316" i="3"/>
  <c r="E316" i="3"/>
  <c r="AH315" i="3"/>
  <c r="AF315" i="3"/>
  <c r="W315" i="3"/>
  <c r="T315" i="3"/>
  <c r="R315" i="3"/>
  <c r="Q315" i="3"/>
  <c r="P315" i="3"/>
  <c r="N315" i="3"/>
  <c r="M315" i="3"/>
  <c r="L315" i="3"/>
  <c r="K315" i="3"/>
  <c r="AH314" i="3"/>
  <c r="AF314" i="3"/>
  <c r="W314" i="3"/>
  <c r="T314" i="3"/>
  <c r="R314" i="3"/>
  <c r="Q314" i="3"/>
  <c r="P314" i="3"/>
  <c r="N314" i="3"/>
  <c r="M314" i="3"/>
  <c r="L314" i="3"/>
  <c r="K314" i="3"/>
  <c r="AH313" i="3"/>
  <c r="AF313" i="3"/>
  <c r="W313" i="3"/>
  <c r="T313" i="3"/>
  <c r="R313" i="3"/>
  <c r="Q313" i="3"/>
  <c r="P313" i="3"/>
  <c r="N313" i="3"/>
  <c r="M313" i="3"/>
  <c r="L313" i="3"/>
  <c r="K313" i="3"/>
  <c r="AH312" i="3"/>
  <c r="AF312" i="3"/>
  <c r="W312" i="3"/>
  <c r="R312" i="3"/>
  <c r="Q312" i="3"/>
  <c r="P312" i="3"/>
  <c r="N312" i="3"/>
  <c r="M312" i="3"/>
  <c r="L312" i="3"/>
  <c r="K312" i="3"/>
  <c r="AH311" i="3"/>
  <c r="AF311" i="3"/>
  <c r="W311" i="3"/>
  <c r="R311" i="3"/>
  <c r="Q311" i="3"/>
  <c r="P311" i="3"/>
  <c r="N311" i="3"/>
  <c r="M311" i="3"/>
  <c r="L311" i="3"/>
  <c r="E311" i="3"/>
  <c r="AH310" i="3"/>
  <c r="AF310" i="3"/>
  <c r="W310" i="3"/>
  <c r="T310" i="3"/>
  <c r="R310" i="3"/>
  <c r="Q310" i="3"/>
  <c r="P310" i="3"/>
  <c r="N310" i="3"/>
  <c r="M310" i="3"/>
  <c r="L310" i="3"/>
  <c r="K310" i="3"/>
  <c r="AH309" i="3"/>
  <c r="AF309" i="3"/>
  <c r="W309" i="3"/>
  <c r="T309" i="3"/>
  <c r="R309" i="3"/>
  <c r="Q309" i="3"/>
  <c r="P309" i="3"/>
  <c r="N309" i="3"/>
  <c r="M309" i="3"/>
  <c r="L309" i="3"/>
  <c r="E309" i="3"/>
  <c r="F309" i="3" s="1"/>
  <c r="AH308" i="3"/>
  <c r="AF308" i="3"/>
  <c r="W308" i="3"/>
  <c r="T308" i="3"/>
  <c r="R308" i="3"/>
  <c r="Q308" i="3"/>
  <c r="P308" i="3"/>
  <c r="N308" i="3"/>
  <c r="M308" i="3"/>
  <c r="L308" i="3"/>
  <c r="K308" i="3"/>
  <c r="AH307" i="3"/>
  <c r="AF307" i="3"/>
  <c r="W307" i="3"/>
  <c r="R307" i="3"/>
  <c r="Q307" i="3"/>
  <c r="P307" i="3"/>
  <c r="N307" i="3"/>
  <c r="M307" i="3"/>
  <c r="L307" i="3"/>
  <c r="E307" i="3"/>
  <c r="G307" i="3" s="1"/>
  <c r="K307" i="3" s="1"/>
  <c r="AH306" i="3"/>
  <c r="AF306" i="3"/>
  <c r="W306" i="3"/>
  <c r="R306" i="3"/>
  <c r="Q306" i="3"/>
  <c r="P306" i="3"/>
  <c r="N306" i="3"/>
  <c r="M306" i="3"/>
  <c r="L306" i="3"/>
  <c r="E306" i="3"/>
  <c r="G306" i="3" s="1"/>
  <c r="K306" i="3" s="1"/>
  <c r="AH305" i="3"/>
  <c r="AF305" i="3"/>
  <c r="W305" i="3"/>
  <c r="R305" i="3"/>
  <c r="Q305" i="3"/>
  <c r="P305" i="3"/>
  <c r="N305" i="3"/>
  <c r="M305" i="3"/>
  <c r="L305" i="3"/>
  <c r="E305" i="3"/>
  <c r="G305" i="3" s="1"/>
  <c r="K305" i="3" s="1"/>
  <c r="AH304" i="3"/>
  <c r="AF304" i="3"/>
  <c r="W304" i="3"/>
  <c r="T304" i="3"/>
  <c r="R304" i="3"/>
  <c r="Q304" i="3"/>
  <c r="P304" i="3"/>
  <c r="N304" i="3"/>
  <c r="M304" i="3"/>
  <c r="L304" i="3"/>
  <c r="K304" i="3"/>
  <c r="AH303" i="3"/>
  <c r="AF303" i="3"/>
  <c r="W303" i="3"/>
  <c r="T303" i="3"/>
  <c r="R303" i="3"/>
  <c r="Q303" i="3"/>
  <c r="P303" i="3"/>
  <c r="N303" i="3"/>
  <c r="M303" i="3"/>
  <c r="L303" i="3"/>
  <c r="K303" i="3"/>
  <c r="AH302" i="3"/>
  <c r="AF302" i="3"/>
  <c r="W302" i="3"/>
  <c r="T302" i="3"/>
  <c r="R302" i="3"/>
  <c r="Q302" i="3"/>
  <c r="P302" i="3"/>
  <c r="N302" i="3"/>
  <c r="M302" i="3"/>
  <c r="L302" i="3"/>
  <c r="E302" i="3"/>
  <c r="F302" i="3" s="1"/>
  <c r="AH301" i="3"/>
  <c r="AF301" i="3"/>
  <c r="W301" i="3"/>
  <c r="R301" i="3"/>
  <c r="Q301" i="3"/>
  <c r="P301" i="3"/>
  <c r="N301" i="3"/>
  <c r="M301" i="3"/>
  <c r="L301" i="3"/>
  <c r="E301" i="3"/>
  <c r="Y301" i="3" s="1"/>
  <c r="AH300" i="3"/>
  <c r="AF300" i="3"/>
  <c r="W300" i="3"/>
  <c r="R300" i="3"/>
  <c r="Q300" i="3"/>
  <c r="P300" i="3"/>
  <c r="N300" i="3"/>
  <c r="M300" i="3"/>
  <c r="L300" i="3"/>
  <c r="K300" i="3"/>
  <c r="AH299" i="3"/>
  <c r="AF299" i="3"/>
  <c r="W299" i="3"/>
  <c r="T299" i="3"/>
  <c r="R299" i="3"/>
  <c r="Q299" i="3"/>
  <c r="P299" i="3"/>
  <c r="N299" i="3"/>
  <c r="M299" i="3"/>
  <c r="L299" i="3"/>
  <c r="E299" i="3"/>
  <c r="Y299" i="3" s="1"/>
  <c r="AH298" i="3"/>
  <c r="AF298" i="3"/>
  <c r="W298" i="3"/>
  <c r="T298" i="3"/>
  <c r="R298" i="3"/>
  <c r="Q298" i="3"/>
  <c r="P298" i="3"/>
  <c r="N298" i="3"/>
  <c r="M298" i="3"/>
  <c r="L298" i="3"/>
  <c r="K298" i="3"/>
  <c r="AH297" i="3"/>
  <c r="AH341" i="3" s="1"/>
  <c r="AF297" i="3"/>
  <c r="AF341" i="3" s="1"/>
  <c r="W297" i="3"/>
  <c r="T297" i="3"/>
  <c r="T341" i="3" s="1"/>
  <c r="T447" i="3" s="1"/>
  <c r="R297" i="3"/>
  <c r="Q297" i="3"/>
  <c r="P297" i="3"/>
  <c r="N297" i="3"/>
  <c r="M297" i="3"/>
  <c r="L297" i="3"/>
  <c r="K297" i="3"/>
  <c r="E297" i="3"/>
  <c r="AK296" i="3"/>
  <c r="Y293" i="3"/>
  <c r="Y439" i="3" s="1"/>
  <c r="Y445" i="3" s="1"/>
  <c r="V293" i="3"/>
  <c r="V439" i="3" s="1"/>
  <c r="V445" i="3" s="1"/>
  <c r="P293" i="3"/>
  <c r="P439" i="3" s="1"/>
  <c r="P445" i="3" s="1"/>
  <c r="L293" i="3"/>
  <c r="L439" i="3" s="1"/>
  <c r="L445" i="3" s="1"/>
  <c r="K293" i="3"/>
  <c r="K439" i="3" s="1"/>
  <c r="K445" i="3" s="1"/>
  <c r="I293" i="3"/>
  <c r="I439" i="3" s="1"/>
  <c r="I445" i="3" s="1"/>
  <c r="Y292" i="3"/>
  <c r="Y443" i="3" s="1"/>
  <c r="X292" i="3"/>
  <c r="X443" i="3" s="1"/>
  <c r="W292" i="3"/>
  <c r="W443" i="3" s="1"/>
  <c r="V292" i="3"/>
  <c r="V443" i="3" s="1"/>
  <c r="AI286" i="3"/>
  <c r="AG286" i="3"/>
  <c r="AE286" i="3"/>
  <c r="AC286" i="3"/>
  <c r="AA286" i="3"/>
  <c r="AA438" i="3" s="1"/>
  <c r="Z286" i="3"/>
  <c r="Z438" i="3" s="1"/>
  <c r="X286" i="3"/>
  <c r="X438" i="3" s="1"/>
  <c r="V286" i="3"/>
  <c r="V438" i="3" s="1"/>
  <c r="U286" i="3"/>
  <c r="U438" i="3" s="1"/>
  <c r="T286" i="3"/>
  <c r="T438" i="3" s="1"/>
  <c r="J286" i="3"/>
  <c r="J438" i="3" s="1"/>
  <c r="I286" i="3"/>
  <c r="I438" i="3" s="1"/>
  <c r="H286" i="3"/>
  <c r="H438" i="3" s="1"/>
  <c r="G286" i="3"/>
  <c r="G438" i="3" s="1"/>
  <c r="AH285" i="3"/>
  <c r="AF285" i="3"/>
  <c r="W285" i="3"/>
  <c r="R285" i="3"/>
  <c r="Q285" i="3"/>
  <c r="P285" i="3"/>
  <c r="N285" i="3"/>
  <c r="M285" i="3"/>
  <c r="L285" i="3"/>
  <c r="K285" i="3"/>
  <c r="AH284" i="3"/>
  <c r="AF284" i="3"/>
  <c r="W284" i="3"/>
  <c r="R284" i="3"/>
  <c r="Q284" i="3"/>
  <c r="P284" i="3"/>
  <c r="N284" i="3"/>
  <c r="M284" i="3"/>
  <c r="L284" i="3"/>
  <c r="K284" i="3"/>
  <c r="AH283" i="3"/>
  <c r="AF283" i="3"/>
  <c r="W283" i="3"/>
  <c r="R283" i="3"/>
  <c r="Q283" i="3"/>
  <c r="P283" i="3"/>
  <c r="N283" i="3"/>
  <c r="M283" i="3"/>
  <c r="L283" i="3"/>
  <c r="K283" i="3"/>
  <c r="AH282" i="3"/>
  <c r="AF282" i="3"/>
  <c r="W282" i="3"/>
  <c r="R282" i="3"/>
  <c r="Q282" i="3"/>
  <c r="P282" i="3"/>
  <c r="N282" i="3"/>
  <c r="M282" i="3"/>
  <c r="L282" i="3"/>
  <c r="K282" i="3"/>
  <c r="E282" i="3"/>
  <c r="F282" i="3" s="1"/>
  <c r="AH281" i="3"/>
  <c r="AF281" i="3"/>
  <c r="W281" i="3"/>
  <c r="R281" i="3"/>
  <c r="Q281" i="3"/>
  <c r="P281" i="3"/>
  <c r="N281" i="3"/>
  <c r="M281" i="3"/>
  <c r="L281" i="3"/>
  <c r="K281" i="3"/>
  <c r="AH280" i="3"/>
  <c r="AF280" i="3"/>
  <c r="W280" i="3"/>
  <c r="R280" i="3"/>
  <c r="Q280" i="3"/>
  <c r="P280" i="3"/>
  <c r="N280" i="3"/>
  <c r="M280" i="3"/>
  <c r="L280" i="3"/>
  <c r="K280" i="3"/>
  <c r="E280" i="3"/>
  <c r="Y280" i="3" s="1"/>
  <c r="AH279" i="3"/>
  <c r="AF279" i="3"/>
  <c r="W279" i="3"/>
  <c r="R279" i="3"/>
  <c r="Q279" i="3"/>
  <c r="P279" i="3"/>
  <c r="N279" i="3"/>
  <c r="M279" i="3"/>
  <c r="L279" i="3"/>
  <c r="K279" i="3"/>
  <c r="AH278" i="3"/>
  <c r="AF278" i="3"/>
  <c r="W278" i="3"/>
  <c r="R278" i="3"/>
  <c r="Q278" i="3"/>
  <c r="P278" i="3"/>
  <c r="N278" i="3"/>
  <c r="M278" i="3"/>
  <c r="L278" i="3"/>
  <c r="K278" i="3"/>
  <c r="E278" i="3"/>
  <c r="F278" i="3" s="1"/>
  <c r="AH277" i="3"/>
  <c r="AF277" i="3"/>
  <c r="W277" i="3"/>
  <c r="R277" i="3"/>
  <c r="Q277" i="3"/>
  <c r="P277" i="3"/>
  <c r="N277" i="3"/>
  <c r="M277" i="3"/>
  <c r="L277" i="3"/>
  <c r="K277" i="3"/>
  <c r="AH276" i="3"/>
  <c r="AF276" i="3"/>
  <c r="W276" i="3"/>
  <c r="R276" i="3"/>
  <c r="Q276" i="3"/>
  <c r="P276" i="3"/>
  <c r="N276" i="3"/>
  <c r="M276" i="3"/>
  <c r="L276" i="3"/>
  <c r="K276" i="3"/>
  <c r="AH275" i="3"/>
  <c r="AF275" i="3"/>
  <c r="W275" i="3"/>
  <c r="R275" i="3"/>
  <c r="Q275" i="3"/>
  <c r="P275" i="3"/>
  <c r="N275" i="3"/>
  <c r="M275" i="3"/>
  <c r="L275" i="3"/>
  <c r="K275" i="3"/>
  <c r="AH274" i="3"/>
  <c r="AF274" i="3"/>
  <c r="W274" i="3"/>
  <c r="R274" i="3"/>
  <c r="Q274" i="3"/>
  <c r="P274" i="3"/>
  <c r="N274" i="3"/>
  <c r="M274" i="3"/>
  <c r="L274" i="3"/>
  <c r="K274" i="3"/>
  <c r="AH273" i="3"/>
  <c r="AF273" i="3"/>
  <c r="W273" i="3"/>
  <c r="R273" i="3"/>
  <c r="Q273" i="3"/>
  <c r="P273" i="3"/>
  <c r="N273" i="3"/>
  <c r="M273" i="3"/>
  <c r="L273" i="3"/>
  <c r="K273" i="3"/>
  <c r="E273" i="3"/>
  <c r="Y273" i="3" s="1"/>
  <c r="AH272" i="3"/>
  <c r="AF272" i="3"/>
  <c r="Y272" i="3"/>
  <c r="W272" i="3"/>
  <c r="R272" i="3"/>
  <c r="Q272" i="3"/>
  <c r="P272" i="3"/>
  <c r="N272" i="3"/>
  <c r="M272" i="3"/>
  <c r="L272" i="3"/>
  <c r="K272" i="3"/>
  <c r="F272" i="3"/>
  <c r="AH271" i="3"/>
  <c r="AF271" i="3"/>
  <c r="W271" i="3"/>
  <c r="R271" i="3"/>
  <c r="Q271" i="3"/>
  <c r="P271" i="3"/>
  <c r="N271" i="3"/>
  <c r="M271" i="3"/>
  <c r="L271" i="3"/>
  <c r="K271" i="3"/>
  <c r="AH270" i="3"/>
  <c r="AF270" i="3"/>
  <c r="W270" i="3"/>
  <c r="R270" i="3"/>
  <c r="Q270" i="3"/>
  <c r="P270" i="3"/>
  <c r="N270" i="3"/>
  <c r="M270" i="3"/>
  <c r="L270" i="3"/>
  <c r="K270" i="3"/>
  <c r="AH269" i="3"/>
  <c r="AF269" i="3"/>
  <c r="W269" i="3"/>
  <c r="R269" i="3"/>
  <c r="Q269" i="3"/>
  <c r="P269" i="3"/>
  <c r="N269" i="3"/>
  <c r="M269" i="3"/>
  <c r="L269" i="3"/>
  <c r="K269" i="3"/>
  <c r="E269" i="3"/>
  <c r="AH268" i="3"/>
  <c r="AF268" i="3"/>
  <c r="W268" i="3"/>
  <c r="R268" i="3"/>
  <c r="Q268" i="3"/>
  <c r="P268" i="3"/>
  <c r="N268" i="3"/>
  <c r="M268" i="3"/>
  <c r="L268" i="3"/>
  <c r="K268" i="3"/>
  <c r="E268" i="3"/>
  <c r="Y268" i="3" s="1"/>
  <c r="AH267" i="3"/>
  <c r="AF267" i="3"/>
  <c r="W267" i="3"/>
  <c r="R267" i="3"/>
  <c r="Q267" i="3"/>
  <c r="P267" i="3"/>
  <c r="N267" i="3"/>
  <c r="M267" i="3"/>
  <c r="L267" i="3"/>
  <c r="K267" i="3"/>
  <c r="E267" i="3"/>
  <c r="Y267" i="3" s="1"/>
  <c r="AH266" i="3"/>
  <c r="AF266" i="3"/>
  <c r="Y266" i="3"/>
  <c r="W266" i="3"/>
  <c r="R266" i="3"/>
  <c r="Q266" i="3"/>
  <c r="P266" i="3"/>
  <c r="N266" i="3"/>
  <c r="M266" i="3"/>
  <c r="L266" i="3"/>
  <c r="K266" i="3"/>
  <c r="E266" i="3"/>
  <c r="F266" i="3" s="1"/>
  <c r="AH265" i="3"/>
  <c r="AF265" i="3"/>
  <c r="W265" i="3"/>
  <c r="R265" i="3"/>
  <c r="Q265" i="3"/>
  <c r="P265" i="3"/>
  <c r="N265" i="3"/>
  <c r="M265" i="3"/>
  <c r="L265" i="3"/>
  <c r="K265" i="3"/>
  <c r="AH264" i="3"/>
  <c r="AF264" i="3"/>
  <c r="W264" i="3"/>
  <c r="R264" i="3"/>
  <c r="Q264" i="3"/>
  <c r="P264" i="3"/>
  <c r="N264" i="3"/>
  <c r="M264" i="3"/>
  <c r="L264" i="3"/>
  <c r="K264" i="3"/>
  <c r="E264" i="3"/>
  <c r="AH263" i="3"/>
  <c r="AF263" i="3"/>
  <c r="Y263" i="3"/>
  <c r="W263" i="3"/>
  <c r="R263" i="3"/>
  <c r="Q263" i="3"/>
  <c r="P263" i="3"/>
  <c r="N263" i="3"/>
  <c r="M263" i="3"/>
  <c r="L263" i="3"/>
  <c r="K263" i="3"/>
  <c r="F263" i="3"/>
  <c r="AH262" i="3"/>
  <c r="AF262" i="3"/>
  <c r="W262" i="3"/>
  <c r="R262" i="3"/>
  <c r="Q262" i="3"/>
  <c r="P262" i="3"/>
  <c r="N262" i="3"/>
  <c r="M262" i="3"/>
  <c r="L262" i="3"/>
  <c r="K262" i="3"/>
  <c r="E262" i="3"/>
  <c r="AH261" i="3"/>
  <c r="AF261" i="3"/>
  <c r="W261" i="3"/>
  <c r="R261" i="3"/>
  <c r="Q261" i="3"/>
  <c r="P261" i="3"/>
  <c r="N261" i="3"/>
  <c r="M261" i="3"/>
  <c r="L261" i="3"/>
  <c r="K261" i="3"/>
  <c r="AH260" i="3"/>
  <c r="AF260" i="3"/>
  <c r="W260" i="3"/>
  <c r="R260" i="3"/>
  <c r="Q260" i="3"/>
  <c r="P260" i="3"/>
  <c r="N260" i="3"/>
  <c r="M260" i="3"/>
  <c r="L260" i="3"/>
  <c r="K260" i="3"/>
  <c r="AH259" i="3"/>
  <c r="AF259" i="3"/>
  <c r="W259" i="3"/>
  <c r="R259" i="3"/>
  <c r="Q259" i="3"/>
  <c r="P259" i="3"/>
  <c r="N259" i="3"/>
  <c r="M259" i="3"/>
  <c r="L259" i="3"/>
  <c r="K259" i="3"/>
  <c r="AH258" i="3"/>
  <c r="AF258" i="3"/>
  <c r="W258" i="3"/>
  <c r="R258" i="3"/>
  <c r="Q258" i="3"/>
  <c r="P258" i="3"/>
  <c r="N258" i="3"/>
  <c r="M258" i="3"/>
  <c r="L258" i="3"/>
  <c r="K258" i="3"/>
  <c r="E258" i="3"/>
  <c r="F258" i="3" s="1"/>
  <c r="AH257" i="3"/>
  <c r="AF257" i="3"/>
  <c r="W257" i="3"/>
  <c r="R257" i="3"/>
  <c r="Q257" i="3"/>
  <c r="P257" i="3"/>
  <c r="N257" i="3"/>
  <c r="M257" i="3"/>
  <c r="L257" i="3"/>
  <c r="K257" i="3"/>
  <c r="E257" i="3"/>
  <c r="Y257" i="3" s="1"/>
  <c r="AH256" i="3"/>
  <c r="AF256" i="3"/>
  <c r="W256" i="3"/>
  <c r="R256" i="3"/>
  <c r="Q256" i="3"/>
  <c r="P256" i="3"/>
  <c r="N256" i="3"/>
  <c r="M256" i="3"/>
  <c r="L256" i="3"/>
  <c r="K256" i="3"/>
  <c r="E256" i="3"/>
  <c r="F256" i="3" s="1"/>
  <c r="AH255" i="3"/>
  <c r="AF255" i="3"/>
  <c r="W255" i="3"/>
  <c r="R255" i="3"/>
  <c r="Q255" i="3"/>
  <c r="P255" i="3"/>
  <c r="N255" i="3"/>
  <c r="M255" i="3"/>
  <c r="L255" i="3"/>
  <c r="K255" i="3"/>
  <c r="E255" i="3"/>
  <c r="Y255" i="3" s="1"/>
  <c r="AH254" i="3"/>
  <c r="AF254" i="3"/>
  <c r="W254" i="3"/>
  <c r="R254" i="3"/>
  <c r="Q254" i="3"/>
  <c r="P254" i="3"/>
  <c r="N254" i="3"/>
  <c r="M254" i="3"/>
  <c r="L254" i="3"/>
  <c r="K254" i="3"/>
  <c r="AH253" i="3"/>
  <c r="AF253" i="3"/>
  <c r="W253" i="3"/>
  <c r="R253" i="3"/>
  <c r="Q253" i="3"/>
  <c r="P253" i="3"/>
  <c r="N253" i="3"/>
  <c r="M253" i="3"/>
  <c r="L253" i="3"/>
  <c r="K253" i="3"/>
  <c r="AH252" i="3"/>
  <c r="AF252" i="3"/>
  <c r="W252" i="3"/>
  <c r="R252" i="3"/>
  <c r="Q252" i="3"/>
  <c r="P252" i="3"/>
  <c r="N252" i="3"/>
  <c r="M252" i="3"/>
  <c r="L252" i="3"/>
  <c r="K252" i="3"/>
  <c r="E252" i="3"/>
  <c r="F252" i="3" s="1"/>
  <c r="AH251" i="3"/>
  <c r="AF251" i="3"/>
  <c r="W251" i="3"/>
  <c r="R251" i="3"/>
  <c r="Q251" i="3"/>
  <c r="P251" i="3"/>
  <c r="N251" i="3"/>
  <c r="M251" i="3"/>
  <c r="L251" i="3"/>
  <c r="K251" i="3"/>
  <c r="AH250" i="3"/>
  <c r="AF250" i="3"/>
  <c r="W250" i="3"/>
  <c r="R250" i="3"/>
  <c r="Q250" i="3"/>
  <c r="P250" i="3"/>
  <c r="N250" i="3"/>
  <c r="M250" i="3"/>
  <c r="L250" i="3"/>
  <c r="K250" i="3"/>
  <c r="E250" i="3"/>
  <c r="AH249" i="3"/>
  <c r="AF249" i="3"/>
  <c r="W249" i="3"/>
  <c r="R249" i="3"/>
  <c r="Q249" i="3"/>
  <c r="P249" i="3"/>
  <c r="N249" i="3"/>
  <c r="M249" i="3"/>
  <c r="L249" i="3"/>
  <c r="K249" i="3"/>
  <c r="AH248" i="3"/>
  <c r="AF248" i="3"/>
  <c r="W248" i="3"/>
  <c r="P248" i="3"/>
  <c r="N248" i="3"/>
  <c r="M248" i="3"/>
  <c r="L248" i="3"/>
  <c r="K248" i="3"/>
  <c r="AH247" i="3"/>
  <c r="AF247" i="3"/>
  <c r="W247" i="3"/>
  <c r="R247" i="3"/>
  <c r="Q247" i="3"/>
  <c r="P247" i="3"/>
  <c r="N247" i="3"/>
  <c r="M247" i="3"/>
  <c r="L247" i="3"/>
  <c r="K247" i="3"/>
  <c r="E247" i="3"/>
  <c r="F247" i="3" s="1"/>
  <c r="AH246" i="3"/>
  <c r="AF246" i="3"/>
  <c r="W246" i="3"/>
  <c r="R246" i="3"/>
  <c r="Q246" i="3"/>
  <c r="P246" i="3"/>
  <c r="N246" i="3"/>
  <c r="M246" i="3"/>
  <c r="L246" i="3"/>
  <c r="K246" i="3"/>
  <c r="P245" i="3"/>
  <c r="N245" i="3"/>
  <c r="M245" i="3"/>
  <c r="Q245" i="3" s="1"/>
  <c r="AL245" i="3" s="1"/>
  <c r="L245" i="3"/>
  <c r="K245" i="3"/>
  <c r="AH244" i="3"/>
  <c r="AF244" i="3"/>
  <c r="W244" i="3"/>
  <c r="R244" i="3"/>
  <c r="Q244" i="3"/>
  <c r="P244" i="3"/>
  <c r="N244" i="3"/>
  <c r="M244" i="3"/>
  <c r="L244" i="3"/>
  <c r="K244" i="3"/>
  <c r="E244" i="3"/>
  <c r="F244" i="3" s="1"/>
  <c r="AH243" i="3"/>
  <c r="AF243" i="3"/>
  <c r="W243" i="3"/>
  <c r="R243" i="3"/>
  <c r="Q243" i="3"/>
  <c r="P243" i="3"/>
  <c r="N243" i="3"/>
  <c r="M243" i="3"/>
  <c r="L243" i="3"/>
  <c r="K243" i="3"/>
  <c r="AH242" i="3"/>
  <c r="AF242" i="3"/>
  <c r="W242" i="3"/>
  <c r="R242" i="3"/>
  <c r="Q242" i="3"/>
  <c r="P242" i="3"/>
  <c r="N242" i="3"/>
  <c r="M242" i="3"/>
  <c r="L242" i="3"/>
  <c r="K242" i="3"/>
  <c r="E242" i="3"/>
  <c r="AH241" i="3"/>
  <c r="AF241" i="3"/>
  <c r="W241" i="3"/>
  <c r="R241" i="3"/>
  <c r="Q241" i="3"/>
  <c r="P241" i="3"/>
  <c r="N241" i="3"/>
  <c r="M241" i="3"/>
  <c r="L241" i="3"/>
  <c r="K241" i="3"/>
  <c r="AH240" i="3"/>
  <c r="AF240" i="3"/>
  <c r="W240" i="3"/>
  <c r="R240" i="3"/>
  <c r="Q240" i="3"/>
  <c r="P240" i="3"/>
  <c r="N240" i="3"/>
  <c r="M240" i="3"/>
  <c r="L240" i="3"/>
  <c r="K240" i="3"/>
  <c r="E240" i="3"/>
  <c r="F240" i="3" s="1"/>
  <c r="AH239" i="3"/>
  <c r="AF239" i="3"/>
  <c r="W239" i="3"/>
  <c r="P239" i="3"/>
  <c r="N239" i="3"/>
  <c r="M239" i="3"/>
  <c r="L239" i="3"/>
  <c r="K239" i="3"/>
  <c r="AH238" i="3"/>
  <c r="AF238" i="3"/>
  <c r="W238" i="3"/>
  <c r="R238" i="3"/>
  <c r="Q238" i="3"/>
  <c r="P238" i="3"/>
  <c r="N238" i="3"/>
  <c r="M238" i="3"/>
  <c r="L238" i="3"/>
  <c r="K238" i="3"/>
  <c r="AH237" i="3"/>
  <c r="AF237" i="3"/>
  <c r="W237" i="3"/>
  <c r="R237" i="3"/>
  <c r="Q237" i="3"/>
  <c r="P237" i="3"/>
  <c r="N237" i="3"/>
  <c r="M237" i="3"/>
  <c r="L237" i="3"/>
  <c r="K237" i="3"/>
  <c r="AH236" i="3"/>
  <c r="AF236" i="3"/>
  <c r="W236" i="3"/>
  <c r="R236" i="3"/>
  <c r="Q236" i="3"/>
  <c r="P236" i="3"/>
  <c r="N236" i="3"/>
  <c r="M236" i="3"/>
  <c r="L236" i="3"/>
  <c r="K236" i="3"/>
  <c r="E236" i="3"/>
  <c r="AK235" i="3"/>
  <c r="AH235" i="3"/>
  <c r="AF235" i="3"/>
  <c r="AD235" i="3"/>
  <c r="W235" i="3"/>
  <c r="P235" i="3"/>
  <c r="N235" i="3"/>
  <c r="M235" i="3"/>
  <c r="L235" i="3"/>
  <c r="K235" i="3"/>
  <c r="AH234" i="3"/>
  <c r="AF234" i="3"/>
  <c r="R234" i="3"/>
  <c r="Q234" i="3"/>
  <c r="P234" i="3"/>
  <c r="N234" i="3"/>
  <c r="M234" i="3"/>
  <c r="L234" i="3"/>
  <c r="K234" i="3"/>
  <c r="AH233" i="3"/>
  <c r="AF233" i="3"/>
  <c r="W233" i="3"/>
  <c r="P233" i="3"/>
  <c r="N233" i="3"/>
  <c r="M233" i="3"/>
  <c r="L233" i="3"/>
  <c r="K233" i="3"/>
  <c r="AH232" i="3"/>
  <c r="AF232" i="3"/>
  <c r="W232" i="3"/>
  <c r="R232" i="3"/>
  <c r="Q232" i="3"/>
  <c r="P232" i="3"/>
  <c r="N232" i="3"/>
  <c r="M232" i="3"/>
  <c r="L232" i="3"/>
  <c r="K232" i="3"/>
  <c r="AH231" i="3"/>
  <c r="AF231" i="3"/>
  <c r="W231" i="3"/>
  <c r="P231" i="3"/>
  <c r="N231" i="3"/>
  <c r="M231" i="3"/>
  <c r="L231" i="3"/>
  <c r="K231" i="3"/>
  <c r="F231" i="3"/>
  <c r="AH230" i="3"/>
  <c r="AF230" i="3"/>
  <c r="R230" i="3"/>
  <c r="Q230" i="3"/>
  <c r="P230" i="3"/>
  <c r="N230" i="3"/>
  <c r="M230" i="3"/>
  <c r="L230" i="3"/>
  <c r="K230" i="3"/>
  <c r="AH229" i="3"/>
  <c r="AF229" i="3"/>
  <c r="AD229" i="3"/>
  <c r="W229" i="3"/>
  <c r="P229" i="3"/>
  <c r="N229" i="3"/>
  <c r="M229" i="3"/>
  <c r="L229" i="3"/>
  <c r="K229" i="3"/>
  <c r="AL228" i="3"/>
  <c r="AH228" i="3"/>
  <c r="AF228" i="3"/>
  <c r="W228" i="3"/>
  <c r="R228" i="3"/>
  <c r="S228" i="3" s="1"/>
  <c r="N228" i="3"/>
  <c r="K228" i="3"/>
  <c r="AH227" i="3"/>
  <c r="AF227" i="3"/>
  <c r="W227" i="3"/>
  <c r="R227" i="3"/>
  <c r="Q227" i="3"/>
  <c r="P227" i="3"/>
  <c r="N227" i="3"/>
  <c r="M227" i="3"/>
  <c r="L227" i="3"/>
  <c r="K227" i="3"/>
  <c r="E227" i="3"/>
  <c r="Y227" i="3" s="1"/>
  <c r="AH226" i="3"/>
  <c r="AF226" i="3"/>
  <c r="W226" i="3"/>
  <c r="R226" i="3"/>
  <c r="Q226" i="3"/>
  <c r="P226" i="3"/>
  <c r="N226" i="3"/>
  <c r="M226" i="3"/>
  <c r="L226" i="3"/>
  <c r="K226" i="3"/>
  <c r="AH225" i="3"/>
  <c r="AF225" i="3"/>
  <c r="W225" i="3"/>
  <c r="P225" i="3"/>
  <c r="N225" i="3"/>
  <c r="M225" i="3"/>
  <c r="L225" i="3"/>
  <c r="K225" i="3"/>
  <c r="AH224" i="3"/>
  <c r="AF224" i="3"/>
  <c r="W224" i="3"/>
  <c r="R224" i="3"/>
  <c r="Q224" i="3"/>
  <c r="N224" i="3"/>
  <c r="M224" i="3"/>
  <c r="K224" i="3"/>
  <c r="F224" i="3"/>
  <c r="AB224" i="3" s="1"/>
  <c r="AB286" i="3" s="1"/>
  <c r="AH223" i="3"/>
  <c r="AF223" i="3"/>
  <c r="AD223" i="3"/>
  <c r="W223" i="3"/>
  <c r="P223" i="3"/>
  <c r="N223" i="3"/>
  <c r="R223" i="3" s="1"/>
  <c r="AM223" i="3" s="1"/>
  <c r="M223" i="3"/>
  <c r="L223" i="3"/>
  <c r="AH222" i="3"/>
  <c r="AF222" i="3"/>
  <c r="W222" i="3"/>
  <c r="R222" i="3"/>
  <c r="Q222" i="3"/>
  <c r="P222" i="3"/>
  <c r="N222" i="3"/>
  <c r="M222" i="3"/>
  <c r="L222" i="3"/>
  <c r="K222" i="3"/>
  <c r="AH221" i="3"/>
  <c r="AF221" i="3"/>
  <c r="W221" i="3"/>
  <c r="R221" i="3"/>
  <c r="Q221" i="3"/>
  <c r="P221" i="3"/>
  <c r="N221" i="3"/>
  <c r="M221" i="3"/>
  <c r="L221" i="3"/>
  <c r="K221" i="3"/>
  <c r="AM220" i="3"/>
  <c r="AL220" i="3"/>
  <c r="AK220" i="3"/>
  <c r="AH219" i="3"/>
  <c r="AF219" i="3"/>
  <c r="W219" i="3"/>
  <c r="R219" i="3"/>
  <c r="Q219" i="3"/>
  <c r="P219" i="3"/>
  <c r="N219" i="3"/>
  <c r="M219" i="3"/>
  <c r="L219" i="3"/>
  <c r="K219" i="3"/>
  <c r="F219" i="3"/>
  <c r="AH218" i="3"/>
  <c r="AF218" i="3"/>
  <c r="W218" i="3"/>
  <c r="R218" i="3"/>
  <c r="Q218" i="3"/>
  <c r="P218" i="3"/>
  <c r="N218" i="3"/>
  <c r="M218" i="3"/>
  <c r="L218" i="3"/>
  <c r="K218" i="3"/>
  <c r="AH217" i="3"/>
  <c r="AF217" i="3"/>
  <c r="W217" i="3"/>
  <c r="R217" i="3"/>
  <c r="Q217" i="3"/>
  <c r="P217" i="3"/>
  <c r="N217" i="3"/>
  <c r="M217" i="3"/>
  <c r="L217" i="3"/>
  <c r="K217" i="3"/>
  <c r="E217" i="3"/>
  <c r="F217" i="3" s="1"/>
  <c r="AH216" i="3"/>
  <c r="AF216" i="3"/>
  <c r="W216" i="3"/>
  <c r="R216" i="3"/>
  <c r="Q216" i="3"/>
  <c r="P216" i="3"/>
  <c r="N216" i="3"/>
  <c r="M216" i="3"/>
  <c r="L216" i="3"/>
  <c r="K216" i="3"/>
  <c r="AH215" i="3"/>
  <c r="AF215" i="3"/>
  <c r="W215" i="3"/>
  <c r="R215" i="3"/>
  <c r="Q215" i="3"/>
  <c r="P215" i="3"/>
  <c r="N215" i="3"/>
  <c r="M215" i="3"/>
  <c r="L215" i="3"/>
  <c r="K215" i="3"/>
  <c r="AH214" i="3"/>
  <c r="AF214" i="3"/>
  <c r="W214" i="3"/>
  <c r="R214" i="3"/>
  <c r="Q214" i="3"/>
  <c r="P214" i="3"/>
  <c r="N214" i="3"/>
  <c r="M214" i="3"/>
  <c r="L214" i="3"/>
  <c r="K214" i="3"/>
  <c r="E214" i="3"/>
  <c r="AH213" i="3"/>
  <c r="AF213" i="3"/>
  <c r="W213" i="3"/>
  <c r="R213" i="3"/>
  <c r="Q213" i="3"/>
  <c r="P213" i="3"/>
  <c r="N213" i="3"/>
  <c r="M213" i="3"/>
  <c r="L213" i="3"/>
  <c r="K213" i="3"/>
  <c r="E213" i="3"/>
  <c r="F213" i="3" s="1"/>
  <c r="AH212" i="3"/>
  <c r="AF212" i="3"/>
  <c r="W212" i="3"/>
  <c r="R212" i="3"/>
  <c r="Q212" i="3"/>
  <c r="P212" i="3"/>
  <c r="N212" i="3"/>
  <c r="M212" i="3"/>
  <c r="L212" i="3"/>
  <c r="K212" i="3"/>
  <c r="AH211" i="3"/>
  <c r="AF211" i="3"/>
  <c r="W211" i="3"/>
  <c r="R211" i="3"/>
  <c r="Q211" i="3"/>
  <c r="P211" i="3"/>
  <c r="N211" i="3"/>
  <c r="M211" i="3"/>
  <c r="L211" i="3"/>
  <c r="K211" i="3"/>
  <c r="AH210" i="3"/>
  <c r="AF210" i="3"/>
  <c r="W210" i="3"/>
  <c r="R210" i="3"/>
  <c r="Q210" i="3"/>
  <c r="P210" i="3"/>
  <c r="N210" i="3"/>
  <c r="M210" i="3"/>
  <c r="L210" i="3"/>
  <c r="K210" i="3"/>
  <c r="AH209" i="3"/>
  <c r="AF209" i="3"/>
  <c r="W209" i="3"/>
  <c r="R209" i="3"/>
  <c r="Q209" i="3"/>
  <c r="P209" i="3"/>
  <c r="N209" i="3"/>
  <c r="M209" i="3"/>
  <c r="L209" i="3"/>
  <c r="K209" i="3"/>
  <c r="AH208" i="3"/>
  <c r="AF208" i="3"/>
  <c r="W208" i="3"/>
  <c r="R208" i="3"/>
  <c r="Q208" i="3"/>
  <c r="P208" i="3"/>
  <c r="N208" i="3"/>
  <c r="M208" i="3"/>
  <c r="L208" i="3"/>
  <c r="K208" i="3"/>
  <c r="AH207" i="3"/>
  <c r="AF207" i="3"/>
  <c r="W207" i="3"/>
  <c r="R207" i="3"/>
  <c r="Q207" i="3"/>
  <c r="P207" i="3"/>
  <c r="N207" i="3"/>
  <c r="M207" i="3"/>
  <c r="L207" i="3"/>
  <c r="K207" i="3"/>
  <c r="F207" i="3"/>
  <c r="AH206" i="3"/>
  <c r="AF206" i="3"/>
  <c r="W206" i="3"/>
  <c r="R206" i="3"/>
  <c r="Q206" i="3"/>
  <c r="P206" i="3"/>
  <c r="N206" i="3"/>
  <c r="M206" i="3"/>
  <c r="L206" i="3"/>
  <c r="K206" i="3"/>
  <c r="AH205" i="3"/>
  <c r="AF205" i="3"/>
  <c r="W205" i="3"/>
  <c r="R205" i="3"/>
  <c r="Q205" i="3"/>
  <c r="P205" i="3"/>
  <c r="N205" i="3"/>
  <c r="M205" i="3"/>
  <c r="L205" i="3"/>
  <c r="K205" i="3"/>
  <c r="E205" i="3"/>
  <c r="AH204" i="3"/>
  <c r="AH286" i="3" s="1"/>
  <c r="AF204" i="3"/>
  <c r="AF286" i="3" s="1"/>
  <c r="W204" i="3"/>
  <c r="W286" i="3" s="1"/>
  <c r="R204" i="3"/>
  <c r="Q204" i="3"/>
  <c r="P204" i="3"/>
  <c r="N204" i="3"/>
  <c r="M204" i="3"/>
  <c r="L204" i="3"/>
  <c r="K204" i="3"/>
  <c r="F204" i="3"/>
  <c r="AK203" i="3"/>
  <c r="Y200" i="3"/>
  <c r="Y431" i="3" s="1"/>
  <c r="Y436" i="3" s="1"/>
  <c r="V200" i="3"/>
  <c r="V431" i="3" s="1"/>
  <c r="V436" i="3" s="1"/>
  <c r="R200" i="3"/>
  <c r="R431" i="3" s="1"/>
  <c r="R436" i="3" s="1"/>
  <c r="Q200" i="3"/>
  <c r="Q431" i="3" s="1"/>
  <c r="Q436" i="3" s="1"/>
  <c r="P200" i="3"/>
  <c r="P431" i="3" s="1"/>
  <c r="P436" i="3" s="1"/>
  <c r="N200" i="3"/>
  <c r="N431" i="3" s="1"/>
  <c r="N436" i="3" s="1"/>
  <c r="M200" i="3"/>
  <c r="M431" i="3" s="1"/>
  <c r="M436" i="3" s="1"/>
  <c r="L200" i="3"/>
  <c r="L431" i="3" s="1"/>
  <c r="L436" i="3" s="1"/>
  <c r="G200" i="3"/>
  <c r="Y199" i="3"/>
  <c r="Y434" i="3" s="1"/>
  <c r="X199" i="3"/>
  <c r="X434" i="3" s="1"/>
  <c r="W199" i="3"/>
  <c r="W434" i="3" s="1"/>
  <c r="V199" i="3"/>
  <c r="V434" i="3" s="1"/>
  <c r="AJ190" i="3"/>
  <c r="AI190" i="3"/>
  <c r="AG190" i="3"/>
  <c r="AE190" i="3"/>
  <c r="AC190" i="3"/>
  <c r="AB190" i="3"/>
  <c r="AA190" i="3"/>
  <c r="Z190" i="3"/>
  <c r="X190" i="3"/>
  <c r="V190" i="3"/>
  <c r="U190" i="3"/>
  <c r="J190" i="3"/>
  <c r="H190" i="3"/>
  <c r="AH189" i="3"/>
  <c r="AF189" i="3"/>
  <c r="W189" i="3"/>
  <c r="T189" i="3"/>
  <c r="R189" i="3"/>
  <c r="P189" i="3"/>
  <c r="N189" i="3"/>
  <c r="L189" i="3"/>
  <c r="I189" i="3"/>
  <c r="Q189" i="3" s="1"/>
  <c r="E189" i="3"/>
  <c r="Y189" i="3" s="1"/>
  <c r="AH188" i="3"/>
  <c r="AF188" i="3"/>
  <c r="R188" i="3"/>
  <c r="Q188" i="3"/>
  <c r="P188" i="3"/>
  <c r="N188" i="3"/>
  <c r="M188" i="3"/>
  <c r="L188" i="3"/>
  <c r="G188" i="3"/>
  <c r="K188" i="3" s="1"/>
  <c r="AH187" i="3"/>
  <c r="AF187" i="3"/>
  <c r="W187" i="3"/>
  <c r="T187" i="3"/>
  <c r="R187" i="3"/>
  <c r="P187" i="3"/>
  <c r="N187" i="3"/>
  <c r="L187" i="3"/>
  <c r="I187" i="3"/>
  <c r="G187" i="3"/>
  <c r="K187" i="3" s="1"/>
  <c r="AH186" i="3"/>
  <c r="AH190" i="3" s="1"/>
  <c r="AF186" i="3"/>
  <c r="AF190" i="3" s="1"/>
  <c r="R186" i="3"/>
  <c r="Q186" i="3"/>
  <c r="P186" i="3"/>
  <c r="N186" i="3"/>
  <c r="M186" i="3"/>
  <c r="L186" i="3"/>
  <c r="K186" i="3"/>
  <c r="E186" i="3"/>
  <c r="AK185" i="3"/>
  <c r="AI184" i="3"/>
  <c r="AG184" i="3"/>
  <c r="AE184" i="3"/>
  <c r="AC184" i="3"/>
  <c r="AB184" i="3"/>
  <c r="AA184" i="3"/>
  <c r="Z184" i="3"/>
  <c r="X184" i="3"/>
  <c r="V184" i="3"/>
  <c r="U184" i="3"/>
  <c r="AH183" i="3"/>
  <c r="AF183" i="3"/>
  <c r="R183" i="3"/>
  <c r="P183" i="3"/>
  <c r="N183" i="3"/>
  <c r="L183" i="3"/>
  <c r="I183" i="3"/>
  <c r="M183" i="3" s="1"/>
  <c r="G183" i="3"/>
  <c r="K183" i="3" s="1"/>
  <c r="AH182" i="3"/>
  <c r="AF182" i="3"/>
  <c r="R182" i="3"/>
  <c r="P182" i="3"/>
  <c r="N182" i="3"/>
  <c r="L182" i="3"/>
  <c r="K182" i="3"/>
  <c r="I182" i="3"/>
  <c r="M182" i="3" s="1"/>
  <c r="E182" i="3"/>
  <c r="Y182" i="3" s="1"/>
  <c r="AH181" i="3"/>
  <c r="AF181" i="3"/>
  <c r="P181" i="3"/>
  <c r="L181" i="3"/>
  <c r="K181" i="3"/>
  <c r="J181" i="3"/>
  <c r="R181" i="3" s="1"/>
  <c r="I181" i="3"/>
  <c r="Q181" i="3" s="1"/>
  <c r="E181" i="3"/>
  <c r="AH180" i="3"/>
  <c r="AF180" i="3"/>
  <c r="R180" i="3"/>
  <c r="Q180" i="3"/>
  <c r="P180" i="3"/>
  <c r="N180" i="3"/>
  <c r="M180" i="3"/>
  <c r="L180" i="3"/>
  <c r="G180" i="3"/>
  <c r="K180" i="3" s="1"/>
  <c r="AH179" i="3"/>
  <c r="AF179" i="3"/>
  <c r="T179" i="3"/>
  <c r="R179" i="3"/>
  <c r="Q179" i="3"/>
  <c r="P179" i="3"/>
  <c r="N179" i="3"/>
  <c r="M179" i="3"/>
  <c r="L179" i="3"/>
  <c r="E179" i="3"/>
  <c r="Y179" i="3" s="1"/>
  <c r="AH178" i="3"/>
  <c r="AF178" i="3"/>
  <c r="R178" i="3"/>
  <c r="Q178" i="3"/>
  <c r="P178" i="3"/>
  <c r="N178" i="3"/>
  <c r="M178" i="3"/>
  <c r="L178" i="3"/>
  <c r="K178" i="3"/>
  <c r="AH177" i="3"/>
  <c r="AF177" i="3"/>
  <c r="Y177" i="3"/>
  <c r="T177" i="3"/>
  <c r="R177" i="3"/>
  <c r="Q177" i="3"/>
  <c r="P177" i="3"/>
  <c r="N177" i="3"/>
  <c r="M177" i="3"/>
  <c r="L177" i="3"/>
  <c r="K177" i="3"/>
  <c r="F177" i="3"/>
  <c r="AH176" i="3"/>
  <c r="AF176" i="3"/>
  <c r="W176" i="3"/>
  <c r="R176" i="3"/>
  <c r="Q176" i="3"/>
  <c r="P176" i="3"/>
  <c r="N176" i="3"/>
  <c r="M176" i="3"/>
  <c r="L176" i="3"/>
  <c r="E176" i="3"/>
  <c r="G176" i="3" s="1"/>
  <c r="K176" i="3" s="1"/>
  <c r="AH175" i="3"/>
  <c r="AF175" i="3"/>
  <c r="R175" i="3"/>
  <c r="P175" i="3"/>
  <c r="N175" i="3"/>
  <c r="L175" i="3"/>
  <c r="I175" i="3"/>
  <c r="Q175" i="3" s="1"/>
  <c r="G175" i="3"/>
  <c r="K175" i="3" s="1"/>
  <c r="AH174" i="3"/>
  <c r="AF174" i="3"/>
  <c r="R174" i="3"/>
  <c r="Q174" i="3"/>
  <c r="P174" i="3"/>
  <c r="N174" i="3"/>
  <c r="M174" i="3"/>
  <c r="L174" i="3"/>
  <c r="G174" i="3"/>
  <c r="K174" i="3" s="1"/>
  <c r="AH173" i="3"/>
  <c r="AF173" i="3"/>
  <c r="R173" i="3"/>
  <c r="Q173" i="3"/>
  <c r="P173" i="3"/>
  <c r="N173" i="3"/>
  <c r="M173" i="3"/>
  <c r="L173" i="3"/>
  <c r="K173" i="3"/>
  <c r="E173" i="3"/>
  <c r="Y173" i="3" s="1"/>
  <c r="AH172" i="3"/>
  <c r="AF172" i="3"/>
  <c r="T172" i="3"/>
  <c r="R172" i="3"/>
  <c r="P172" i="3"/>
  <c r="N172" i="3"/>
  <c r="L172" i="3"/>
  <c r="K172" i="3"/>
  <c r="I172" i="3"/>
  <c r="Q172" i="3" s="1"/>
  <c r="E172" i="3"/>
  <c r="AH171" i="3"/>
  <c r="AF171" i="3"/>
  <c r="R171" i="3"/>
  <c r="Q171" i="3"/>
  <c r="P171" i="3"/>
  <c r="N171" i="3"/>
  <c r="M171" i="3"/>
  <c r="L171" i="3"/>
  <c r="G171" i="3"/>
  <c r="K171" i="3" s="1"/>
  <c r="AH170" i="3"/>
  <c r="AF170" i="3"/>
  <c r="R170" i="3"/>
  <c r="Q170" i="3"/>
  <c r="P170" i="3"/>
  <c r="N170" i="3"/>
  <c r="M170" i="3"/>
  <c r="L170" i="3"/>
  <c r="K170" i="3"/>
  <c r="E170" i="3"/>
  <c r="Y170" i="3" s="1"/>
  <c r="AH169" i="3"/>
  <c r="AF169" i="3"/>
  <c r="R169" i="3"/>
  <c r="P169" i="3"/>
  <c r="N169" i="3"/>
  <c r="L169" i="3"/>
  <c r="I169" i="3"/>
  <c r="G169" i="3"/>
  <c r="K169" i="3" s="1"/>
  <c r="AH168" i="3"/>
  <c r="AF168" i="3"/>
  <c r="Y168" i="3"/>
  <c r="W168" i="3"/>
  <c r="T168" i="3"/>
  <c r="Q168" i="3"/>
  <c r="P168" i="3"/>
  <c r="M168" i="3"/>
  <c r="L168" i="3"/>
  <c r="K168" i="3"/>
  <c r="J168" i="3"/>
  <c r="R168" i="3" s="1"/>
  <c r="F168" i="3"/>
  <c r="AH167" i="3"/>
  <c r="AF167" i="3"/>
  <c r="T167" i="3"/>
  <c r="R167" i="3"/>
  <c r="Q167" i="3"/>
  <c r="P167" i="3"/>
  <c r="N167" i="3"/>
  <c r="M167" i="3"/>
  <c r="L167" i="3"/>
  <c r="E167" i="3"/>
  <c r="G167" i="3" s="1"/>
  <c r="K167" i="3" s="1"/>
  <c r="AH166" i="3"/>
  <c r="AF166" i="3"/>
  <c r="R166" i="3"/>
  <c r="P166" i="3"/>
  <c r="N166" i="3"/>
  <c r="L166" i="3"/>
  <c r="I166" i="3"/>
  <c r="Q166" i="3" s="1"/>
  <c r="E166" i="3"/>
  <c r="G166" i="3" s="1"/>
  <c r="K166" i="3" s="1"/>
  <c r="AH165" i="3"/>
  <c r="AF165" i="3"/>
  <c r="R165" i="3"/>
  <c r="Q165" i="3"/>
  <c r="P165" i="3"/>
  <c r="N165" i="3"/>
  <c r="M165" i="3"/>
  <c r="L165" i="3"/>
  <c r="K165" i="3"/>
  <c r="E165" i="3"/>
  <c r="Y165" i="3" s="1"/>
  <c r="AH164" i="3"/>
  <c r="AF164" i="3"/>
  <c r="Q164" i="3"/>
  <c r="P164" i="3"/>
  <c r="M164" i="3"/>
  <c r="L164" i="3"/>
  <c r="K164" i="3"/>
  <c r="J164" i="3"/>
  <c r="R164" i="3" s="1"/>
  <c r="E164" i="3"/>
  <c r="Y164" i="3" s="1"/>
  <c r="AH163" i="3"/>
  <c r="AF163" i="3"/>
  <c r="T163" i="3"/>
  <c r="R163" i="3"/>
  <c r="Q163" i="3"/>
  <c r="P163" i="3"/>
  <c r="N163" i="3"/>
  <c r="M163" i="3"/>
  <c r="L163" i="3"/>
  <c r="E163" i="3"/>
  <c r="Y163" i="3" s="1"/>
  <c r="AH162" i="3"/>
  <c r="AF162" i="3"/>
  <c r="W162" i="3"/>
  <c r="R162" i="3"/>
  <c r="Q162" i="3"/>
  <c r="P162" i="3"/>
  <c r="N162" i="3"/>
  <c r="M162" i="3"/>
  <c r="L162" i="3"/>
  <c r="K162" i="3"/>
  <c r="E162" i="3"/>
  <c r="Y162" i="3" s="1"/>
  <c r="AH161" i="3"/>
  <c r="AF161" i="3"/>
  <c r="T161" i="3"/>
  <c r="R161" i="3"/>
  <c r="Q161" i="3"/>
  <c r="P161" i="3"/>
  <c r="N161" i="3"/>
  <c r="M161" i="3"/>
  <c r="L161" i="3"/>
  <c r="E161" i="3"/>
  <c r="G161" i="3" s="1"/>
  <c r="K161" i="3" s="1"/>
  <c r="AH160" i="3"/>
  <c r="AF160" i="3"/>
  <c r="T160" i="3"/>
  <c r="R160" i="3"/>
  <c r="Q160" i="3"/>
  <c r="P160" i="3"/>
  <c r="N160" i="3"/>
  <c r="M160" i="3"/>
  <c r="L160" i="3"/>
  <c r="E160" i="3"/>
  <c r="G160" i="3" s="1"/>
  <c r="K160" i="3" s="1"/>
  <c r="AH159" i="3"/>
  <c r="AF159" i="3"/>
  <c r="T159" i="3"/>
  <c r="R159" i="3"/>
  <c r="P159" i="3"/>
  <c r="N159" i="3"/>
  <c r="L159" i="3"/>
  <c r="I159" i="3"/>
  <c r="Q159" i="3" s="1"/>
  <c r="E159" i="3"/>
  <c r="AH158" i="3"/>
  <c r="AF158" i="3"/>
  <c r="R158" i="3"/>
  <c r="Q158" i="3"/>
  <c r="P158" i="3"/>
  <c r="N158" i="3"/>
  <c r="M158" i="3"/>
  <c r="L158" i="3"/>
  <c r="E158" i="3"/>
  <c r="Y158" i="3" s="1"/>
  <c r="AH157" i="3"/>
  <c r="AF157" i="3"/>
  <c r="W157" i="3"/>
  <c r="T157" i="3"/>
  <c r="R157" i="3"/>
  <c r="Q157" i="3"/>
  <c r="P157" i="3"/>
  <c r="N157" i="3"/>
  <c r="M157" i="3"/>
  <c r="L157" i="3"/>
  <c r="E157" i="3"/>
  <c r="AH156" i="3"/>
  <c r="AF156" i="3"/>
  <c r="T156" i="3"/>
  <c r="R156" i="3"/>
  <c r="P156" i="3"/>
  <c r="N156" i="3"/>
  <c r="L156" i="3"/>
  <c r="K156" i="3"/>
  <c r="I156" i="3"/>
  <c r="M156" i="3" s="1"/>
  <c r="E156" i="3"/>
  <c r="AH155" i="3"/>
  <c r="AF155" i="3"/>
  <c r="R155" i="3"/>
  <c r="Q155" i="3"/>
  <c r="P155" i="3"/>
  <c r="N155" i="3"/>
  <c r="M155" i="3"/>
  <c r="L155" i="3"/>
  <c r="K155" i="3"/>
  <c r="AH154" i="3"/>
  <c r="AF154" i="3"/>
  <c r="W154" i="3"/>
  <c r="R154" i="3"/>
  <c r="Q154" i="3"/>
  <c r="P154" i="3"/>
  <c r="N154" i="3"/>
  <c r="M154" i="3"/>
  <c r="L154" i="3"/>
  <c r="G154" i="3"/>
  <c r="K154" i="3" s="1"/>
  <c r="AH153" i="3"/>
  <c r="AF153" i="3"/>
  <c r="R153" i="3"/>
  <c r="Q153" i="3"/>
  <c r="P153" i="3"/>
  <c r="N153" i="3"/>
  <c r="M153" i="3"/>
  <c r="L153" i="3"/>
  <c r="G153" i="3"/>
  <c r="K153" i="3" s="1"/>
  <c r="AH152" i="3"/>
  <c r="AF152" i="3"/>
  <c r="R152" i="3"/>
  <c r="N152" i="3"/>
  <c r="I152" i="3"/>
  <c r="Q152" i="3" s="1"/>
  <c r="H152" i="3"/>
  <c r="P152" i="3" s="1"/>
  <c r="G152" i="3"/>
  <c r="K152" i="3" s="1"/>
  <c r="AH151" i="3"/>
  <c r="AF151" i="3"/>
  <c r="R151" i="3"/>
  <c r="N151" i="3"/>
  <c r="I151" i="3"/>
  <c r="Q151" i="3" s="1"/>
  <c r="H151" i="3"/>
  <c r="L151" i="3" s="1"/>
  <c r="E151" i="3"/>
  <c r="Y151" i="3" s="1"/>
  <c r="AH150" i="3"/>
  <c r="AF150" i="3"/>
  <c r="R150" i="3"/>
  <c r="Q150" i="3"/>
  <c r="P150" i="3"/>
  <c r="N150" i="3"/>
  <c r="M150" i="3"/>
  <c r="L150" i="3"/>
  <c r="K150" i="3"/>
  <c r="E150" i="3"/>
  <c r="Y150" i="3" s="1"/>
  <c r="AH149" i="3"/>
  <c r="AF149" i="3"/>
  <c r="T149" i="3"/>
  <c r="R149" i="3"/>
  <c r="P149" i="3"/>
  <c r="N149" i="3"/>
  <c r="L149" i="3"/>
  <c r="I149" i="3"/>
  <c r="G149" i="3"/>
  <c r="K149" i="3" s="1"/>
  <c r="AH148" i="3"/>
  <c r="AF148" i="3"/>
  <c r="W148" i="3"/>
  <c r="R148" i="3"/>
  <c r="P148" i="3"/>
  <c r="N148" i="3"/>
  <c r="L148" i="3"/>
  <c r="K148" i="3"/>
  <c r="I148" i="3"/>
  <c r="Q148" i="3" s="1"/>
  <c r="E148" i="3"/>
  <c r="Y148" i="3" s="1"/>
  <c r="AH147" i="3"/>
  <c r="AF147" i="3"/>
  <c r="R147" i="3"/>
  <c r="Q147" i="3"/>
  <c r="P147" i="3"/>
  <c r="N147" i="3"/>
  <c r="M147" i="3"/>
  <c r="L147" i="3"/>
  <c r="K147" i="3"/>
  <c r="E147" i="3"/>
  <c r="Y147" i="3" s="1"/>
  <c r="AH146" i="3"/>
  <c r="AF146" i="3"/>
  <c r="W146" i="3"/>
  <c r="T146" i="3"/>
  <c r="R146" i="3"/>
  <c r="P146" i="3"/>
  <c r="N146" i="3"/>
  <c r="L146" i="3"/>
  <c r="I146" i="3"/>
  <c r="M146" i="3" s="1"/>
  <c r="E146" i="3"/>
  <c r="G146" i="3" s="1"/>
  <c r="K146" i="3" s="1"/>
  <c r="AH145" i="3"/>
  <c r="AF145" i="3"/>
  <c r="R145" i="3"/>
  <c r="N145" i="3"/>
  <c r="I145" i="3"/>
  <c r="Q145" i="3" s="1"/>
  <c r="H145" i="3"/>
  <c r="P145" i="3" s="1"/>
  <c r="G145" i="3"/>
  <c r="K145" i="3" s="1"/>
  <c r="AH144" i="3"/>
  <c r="AF144" i="3"/>
  <c r="R144" i="3"/>
  <c r="Q144" i="3"/>
  <c r="P144" i="3"/>
  <c r="N144" i="3"/>
  <c r="M144" i="3"/>
  <c r="L144" i="3"/>
  <c r="K144" i="3"/>
  <c r="E144" i="3"/>
  <c r="Y144" i="3" s="1"/>
  <c r="AH143" i="3"/>
  <c r="AF143" i="3"/>
  <c r="R143" i="3"/>
  <c r="Q143" i="3"/>
  <c r="P143" i="3"/>
  <c r="N143" i="3"/>
  <c r="M143" i="3"/>
  <c r="L143" i="3"/>
  <c r="E143" i="3"/>
  <c r="AH142" i="3"/>
  <c r="AF142" i="3"/>
  <c r="R142" i="3"/>
  <c r="Q142" i="3"/>
  <c r="P142" i="3"/>
  <c r="N142" i="3"/>
  <c r="M142" i="3"/>
  <c r="L142" i="3"/>
  <c r="G142" i="3"/>
  <c r="K142" i="3" s="1"/>
  <c r="AH141" i="3"/>
  <c r="AF141" i="3"/>
  <c r="R141" i="3"/>
  <c r="Q141" i="3"/>
  <c r="P141" i="3"/>
  <c r="N141" i="3"/>
  <c r="M141" i="3"/>
  <c r="L141" i="3"/>
  <c r="G141" i="3"/>
  <c r="K141" i="3" s="1"/>
  <c r="AH140" i="3"/>
  <c r="AF140" i="3"/>
  <c r="R140" i="3"/>
  <c r="Q140" i="3"/>
  <c r="P140" i="3"/>
  <c r="N140" i="3"/>
  <c r="M140" i="3"/>
  <c r="L140" i="3"/>
  <c r="E140" i="3"/>
  <c r="Y140" i="3" s="1"/>
  <c r="AH139" i="3"/>
  <c r="AF139" i="3"/>
  <c r="R139" i="3"/>
  <c r="Q139" i="3"/>
  <c r="P139" i="3"/>
  <c r="N139" i="3"/>
  <c r="M139" i="3"/>
  <c r="L139" i="3"/>
  <c r="G139" i="3"/>
  <c r="K139" i="3" s="1"/>
  <c r="AH138" i="3"/>
  <c r="AF138" i="3"/>
  <c r="W138" i="3"/>
  <c r="R138" i="3"/>
  <c r="Q138" i="3"/>
  <c r="P138" i="3"/>
  <c r="N138" i="3"/>
  <c r="M138" i="3"/>
  <c r="L138" i="3"/>
  <c r="G138" i="3"/>
  <c r="K138" i="3" s="1"/>
  <c r="AH137" i="3"/>
  <c r="AF137" i="3"/>
  <c r="R137" i="3"/>
  <c r="Q137" i="3"/>
  <c r="P137" i="3"/>
  <c r="N137" i="3"/>
  <c r="M137" i="3"/>
  <c r="L137" i="3"/>
  <c r="K137" i="3"/>
  <c r="E137" i="3"/>
  <c r="AH136" i="3"/>
  <c r="AF136" i="3"/>
  <c r="T136" i="3"/>
  <c r="R136" i="3"/>
  <c r="Q136" i="3"/>
  <c r="N136" i="3"/>
  <c r="M136" i="3"/>
  <c r="H136" i="3"/>
  <c r="P136" i="3" s="1"/>
  <c r="G136" i="3"/>
  <c r="K136" i="3" s="1"/>
  <c r="AH135" i="3"/>
  <c r="AF135" i="3"/>
  <c r="R135" i="3"/>
  <c r="Q135" i="3"/>
  <c r="N135" i="3"/>
  <c r="M135" i="3"/>
  <c r="H135" i="3"/>
  <c r="P135" i="3" s="1"/>
  <c r="G135" i="3"/>
  <c r="K135" i="3" s="1"/>
  <c r="AH134" i="3"/>
  <c r="AF134" i="3"/>
  <c r="R134" i="3"/>
  <c r="Q134" i="3"/>
  <c r="P134" i="3"/>
  <c r="N134" i="3"/>
  <c r="M134" i="3"/>
  <c r="L134" i="3"/>
  <c r="E134" i="3"/>
  <c r="Y134" i="3" s="1"/>
  <c r="AH133" i="3"/>
  <c r="AF133" i="3"/>
  <c r="R133" i="3"/>
  <c r="Q133" i="3"/>
  <c r="P133" i="3"/>
  <c r="N133" i="3"/>
  <c r="M133" i="3"/>
  <c r="L133" i="3"/>
  <c r="G133" i="3"/>
  <c r="K133" i="3" s="1"/>
  <c r="AH132" i="3"/>
  <c r="AF132" i="3"/>
  <c r="R132" i="3"/>
  <c r="Q132" i="3"/>
  <c r="P132" i="3"/>
  <c r="N132" i="3"/>
  <c r="M132" i="3"/>
  <c r="L132" i="3"/>
  <c r="K132" i="3"/>
  <c r="E132" i="3"/>
  <c r="AH131" i="3"/>
  <c r="AF131" i="3"/>
  <c r="R131" i="3"/>
  <c r="Q131" i="3"/>
  <c r="P131" i="3"/>
  <c r="N131" i="3"/>
  <c r="M131" i="3"/>
  <c r="L131" i="3"/>
  <c r="G131" i="3"/>
  <c r="K131" i="3" s="1"/>
  <c r="AH130" i="3"/>
  <c r="AF130" i="3"/>
  <c r="T130" i="3"/>
  <c r="R130" i="3"/>
  <c r="Q130" i="3"/>
  <c r="P130" i="3"/>
  <c r="N130" i="3"/>
  <c r="M130" i="3"/>
  <c r="L130" i="3"/>
  <c r="E130" i="3"/>
  <c r="Y130" i="3" s="1"/>
  <c r="AH129" i="3"/>
  <c r="AF129" i="3"/>
  <c r="T129" i="3"/>
  <c r="R129" i="3"/>
  <c r="Q129" i="3"/>
  <c r="P129" i="3"/>
  <c r="N129" i="3"/>
  <c r="M129" i="3"/>
  <c r="L129" i="3"/>
  <c r="G129" i="3"/>
  <c r="K129" i="3" s="1"/>
  <c r="E129" i="3"/>
  <c r="Y129" i="3" s="1"/>
  <c r="AH128" i="3"/>
  <c r="AF128" i="3"/>
  <c r="T128" i="3"/>
  <c r="R128" i="3"/>
  <c r="Q128" i="3"/>
  <c r="P128" i="3"/>
  <c r="N128" i="3"/>
  <c r="M128" i="3"/>
  <c r="L128" i="3"/>
  <c r="G128" i="3"/>
  <c r="K128" i="3" s="1"/>
  <c r="AH127" i="3"/>
  <c r="AF127" i="3"/>
  <c r="T127" i="3"/>
  <c r="R127" i="3"/>
  <c r="Q127" i="3"/>
  <c r="P127" i="3"/>
  <c r="N127" i="3"/>
  <c r="M127" i="3"/>
  <c r="L127" i="3"/>
  <c r="G127" i="3"/>
  <c r="K127" i="3" s="1"/>
  <c r="AH126" i="3"/>
  <c r="AF126" i="3"/>
  <c r="T126" i="3"/>
  <c r="R126" i="3"/>
  <c r="Q126" i="3"/>
  <c r="P126" i="3"/>
  <c r="N126" i="3"/>
  <c r="M126" i="3"/>
  <c r="L126" i="3"/>
  <c r="G126" i="3"/>
  <c r="K126" i="3" s="1"/>
  <c r="AH125" i="3"/>
  <c r="AF125" i="3"/>
  <c r="T125" i="3"/>
  <c r="R125" i="3"/>
  <c r="Q125" i="3"/>
  <c r="P125" i="3"/>
  <c r="N125" i="3"/>
  <c r="M125" i="3"/>
  <c r="L125" i="3"/>
  <c r="K125" i="3"/>
  <c r="E125" i="3"/>
  <c r="AH124" i="3"/>
  <c r="AF124" i="3"/>
  <c r="R124" i="3"/>
  <c r="Q124" i="3"/>
  <c r="P124" i="3"/>
  <c r="N124" i="3"/>
  <c r="M124" i="3"/>
  <c r="L124" i="3"/>
  <c r="E124" i="3"/>
  <c r="Y124" i="3" s="1"/>
  <c r="AH123" i="3"/>
  <c r="AF123" i="3"/>
  <c r="R123" i="3"/>
  <c r="Q123" i="3"/>
  <c r="P123" i="3"/>
  <c r="N123" i="3"/>
  <c r="M123" i="3"/>
  <c r="L123" i="3"/>
  <c r="G123" i="3"/>
  <c r="K123" i="3" s="1"/>
  <c r="AH122" i="3"/>
  <c r="AF122" i="3"/>
  <c r="T122" i="3"/>
  <c r="R122" i="3"/>
  <c r="P122" i="3"/>
  <c r="N122" i="3"/>
  <c r="L122" i="3"/>
  <c r="I122" i="3"/>
  <c r="G122" i="3"/>
  <c r="K122" i="3" s="1"/>
  <c r="AH121" i="3"/>
  <c r="AF121" i="3"/>
  <c r="R121" i="3"/>
  <c r="Q121" i="3"/>
  <c r="P121" i="3"/>
  <c r="N121" i="3"/>
  <c r="M121" i="3"/>
  <c r="L121" i="3"/>
  <c r="K121" i="3"/>
  <c r="E121" i="3"/>
  <c r="Y121" i="3" s="1"/>
  <c r="AH120" i="3"/>
  <c r="AF120" i="3"/>
  <c r="R120" i="3"/>
  <c r="Q120" i="3"/>
  <c r="P120" i="3"/>
  <c r="N120" i="3"/>
  <c r="M120" i="3"/>
  <c r="L120" i="3"/>
  <c r="G120" i="3"/>
  <c r="K120" i="3" s="1"/>
  <c r="AH119" i="3"/>
  <c r="AF119" i="3"/>
  <c r="R119" i="3"/>
  <c r="Q119" i="3"/>
  <c r="P119" i="3"/>
  <c r="N119" i="3"/>
  <c r="M119" i="3"/>
  <c r="L119" i="3"/>
  <c r="G119" i="3"/>
  <c r="K119" i="3" s="1"/>
  <c r="AH118" i="3"/>
  <c r="AF118" i="3"/>
  <c r="W118" i="3"/>
  <c r="T118" i="3"/>
  <c r="R118" i="3"/>
  <c r="Q118" i="3"/>
  <c r="P118" i="3"/>
  <c r="N118" i="3"/>
  <c r="M118" i="3"/>
  <c r="L118" i="3"/>
  <c r="E118" i="3"/>
  <c r="AH117" i="3"/>
  <c r="AF117" i="3"/>
  <c r="T117" i="3"/>
  <c r="P117" i="3"/>
  <c r="L117" i="3"/>
  <c r="J117" i="3"/>
  <c r="R117" i="3" s="1"/>
  <c r="I117" i="3"/>
  <c r="Q117" i="3" s="1"/>
  <c r="G117" i="3"/>
  <c r="K117" i="3" s="1"/>
  <c r="AH116" i="3"/>
  <c r="AF116" i="3"/>
  <c r="W116" i="3"/>
  <c r="R116" i="3"/>
  <c r="Q116" i="3"/>
  <c r="P116" i="3"/>
  <c r="N116" i="3"/>
  <c r="M116" i="3"/>
  <c r="L116" i="3"/>
  <c r="E116" i="3"/>
  <c r="G116" i="3" s="1"/>
  <c r="K116" i="3" s="1"/>
  <c r="AH115" i="3"/>
  <c r="AF115" i="3"/>
  <c r="Y115" i="3"/>
  <c r="W115" i="3"/>
  <c r="R115" i="3"/>
  <c r="Q115" i="3"/>
  <c r="P115" i="3"/>
  <c r="N115" i="3"/>
  <c r="M115" i="3"/>
  <c r="L115" i="3"/>
  <c r="G115" i="3"/>
  <c r="K115" i="3" s="1"/>
  <c r="F115" i="3"/>
  <c r="AH114" i="3"/>
  <c r="AF114" i="3"/>
  <c r="R114" i="3"/>
  <c r="P114" i="3"/>
  <c r="N114" i="3"/>
  <c r="L114" i="3"/>
  <c r="I114" i="3"/>
  <c r="Q114" i="3" s="1"/>
  <c r="E114" i="3"/>
  <c r="AH113" i="3"/>
  <c r="AF113" i="3"/>
  <c r="W113" i="3"/>
  <c r="R113" i="3"/>
  <c r="Q113" i="3"/>
  <c r="N113" i="3"/>
  <c r="M113" i="3"/>
  <c r="H113" i="3"/>
  <c r="G113" i="3"/>
  <c r="K113" i="3" s="1"/>
  <c r="AH112" i="3"/>
  <c r="AF112" i="3"/>
  <c r="W112" i="3"/>
  <c r="T112" i="3"/>
  <c r="R112" i="3"/>
  <c r="Q112" i="3"/>
  <c r="P112" i="3"/>
  <c r="N112" i="3"/>
  <c r="M112" i="3"/>
  <c r="L112" i="3"/>
  <c r="E112" i="3"/>
  <c r="Y112" i="3" s="1"/>
  <c r="AH111" i="3"/>
  <c r="AF111" i="3"/>
  <c r="R111" i="3"/>
  <c r="Q111" i="3"/>
  <c r="P111" i="3"/>
  <c r="N111" i="3"/>
  <c r="M111" i="3"/>
  <c r="L111" i="3"/>
  <c r="G111" i="3"/>
  <c r="K111" i="3" s="1"/>
  <c r="AH110" i="3"/>
  <c r="AF110" i="3"/>
  <c r="T110" i="3"/>
  <c r="R110" i="3"/>
  <c r="Q110" i="3"/>
  <c r="P110" i="3"/>
  <c r="N110" i="3"/>
  <c r="M110" i="3"/>
  <c r="L110" i="3"/>
  <c r="G110" i="3"/>
  <c r="K110" i="3" s="1"/>
  <c r="AH109" i="3"/>
  <c r="AF109" i="3"/>
  <c r="R109" i="3"/>
  <c r="P109" i="3"/>
  <c r="N109" i="3"/>
  <c r="L109" i="3"/>
  <c r="K109" i="3"/>
  <c r="I109" i="3"/>
  <c r="Q109" i="3" s="1"/>
  <c r="E109" i="3"/>
  <c r="Y109" i="3" s="1"/>
  <c r="AH108" i="3"/>
  <c r="AF108" i="3"/>
  <c r="R108" i="3"/>
  <c r="Q108" i="3"/>
  <c r="P108" i="3"/>
  <c r="N108" i="3"/>
  <c r="M108" i="3"/>
  <c r="L108" i="3"/>
  <c r="E108" i="3"/>
  <c r="Y108" i="3" s="1"/>
  <c r="AH107" i="3"/>
  <c r="AF107" i="3"/>
  <c r="T107" i="3"/>
  <c r="R107" i="3"/>
  <c r="P107" i="3"/>
  <c r="N107" i="3"/>
  <c r="L107" i="3"/>
  <c r="I107" i="3"/>
  <c r="Q107" i="3" s="1"/>
  <c r="G107" i="3"/>
  <c r="K107" i="3" s="1"/>
  <c r="AH106" i="3"/>
  <c r="AF106" i="3"/>
  <c r="R106" i="3"/>
  <c r="Q106" i="3"/>
  <c r="P106" i="3"/>
  <c r="N106" i="3"/>
  <c r="M106" i="3"/>
  <c r="L106" i="3"/>
  <c r="K106" i="3"/>
  <c r="E106" i="3"/>
  <c r="Y106" i="3" s="1"/>
  <c r="AH105" i="3"/>
  <c r="AF105" i="3"/>
  <c r="R105" i="3"/>
  <c r="Q105" i="3"/>
  <c r="P105" i="3"/>
  <c r="N105" i="3"/>
  <c r="M105" i="3"/>
  <c r="L105" i="3"/>
  <c r="G105" i="3"/>
  <c r="K105" i="3" s="1"/>
  <c r="AH104" i="3"/>
  <c r="AF104" i="3"/>
  <c r="R104" i="3"/>
  <c r="Q104" i="3"/>
  <c r="P104" i="3"/>
  <c r="N104" i="3"/>
  <c r="M104" i="3"/>
  <c r="L104" i="3"/>
  <c r="G104" i="3"/>
  <c r="K104" i="3" s="1"/>
  <c r="AH103" i="3"/>
  <c r="AH431" i="3" s="1"/>
  <c r="AF103" i="3"/>
  <c r="AF431" i="3" s="1"/>
  <c r="T103" i="3"/>
  <c r="R103" i="3"/>
  <c r="P103" i="3"/>
  <c r="N103" i="3"/>
  <c r="L103" i="3"/>
  <c r="I103" i="3"/>
  <c r="G103" i="3"/>
  <c r="K103" i="3" s="1"/>
  <c r="AH102" i="3"/>
  <c r="AF102" i="3"/>
  <c r="Q102" i="3"/>
  <c r="P102" i="3"/>
  <c r="M102" i="3"/>
  <c r="L102" i="3"/>
  <c r="J102" i="3"/>
  <c r="R102" i="3" s="1"/>
  <c r="E102" i="3"/>
  <c r="Y102" i="3" s="1"/>
  <c r="AH101" i="3"/>
  <c r="AF101" i="3"/>
  <c r="T101" i="3"/>
  <c r="P101" i="3"/>
  <c r="L101" i="3"/>
  <c r="J101" i="3"/>
  <c r="I101" i="3"/>
  <c r="Q101" i="3" s="1"/>
  <c r="E101" i="3"/>
  <c r="Y101" i="3" s="1"/>
  <c r="AH100" i="3"/>
  <c r="AF100" i="3"/>
  <c r="R100" i="3"/>
  <c r="Q100" i="3"/>
  <c r="P100" i="3"/>
  <c r="N100" i="3"/>
  <c r="M100" i="3"/>
  <c r="L100" i="3"/>
  <c r="K100" i="3"/>
  <c r="E100" i="3"/>
  <c r="Y100" i="3" s="1"/>
  <c r="AH99" i="3"/>
  <c r="AH184" i="3" s="1"/>
  <c r="AF99" i="3"/>
  <c r="AF184" i="3" s="1"/>
  <c r="R99" i="3"/>
  <c r="P99" i="3"/>
  <c r="N99" i="3"/>
  <c r="L99" i="3"/>
  <c r="K99" i="3"/>
  <c r="I99" i="3"/>
  <c r="M99" i="3" s="1"/>
  <c r="E99" i="3"/>
  <c r="AA95" i="3"/>
  <c r="AA406" i="3" s="1"/>
  <c r="Z95" i="3"/>
  <c r="Z406" i="3" s="1"/>
  <c r="Y95" i="3"/>
  <c r="X95" i="3"/>
  <c r="X406" i="3" s="1"/>
  <c r="W95" i="3"/>
  <c r="W406" i="3" s="1"/>
  <c r="V95" i="3"/>
  <c r="U95" i="3"/>
  <c r="U406" i="3" s="1"/>
  <c r="T95" i="3"/>
  <c r="T406" i="3" s="1"/>
  <c r="L95" i="3"/>
  <c r="K95" i="3"/>
  <c r="J95" i="3"/>
  <c r="J406" i="3" s="1"/>
  <c r="I95" i="3"/>
  <c r="H95" i="3"/>
  <c r="H406" i="3" s="1"/>
  <c r="G95" i="3"/>
  <c r="E95" i="3"/>
  <c r="E406" i="3" s="1"/>
  <c r="F93" i="3"/>
  <c r="F421" i="3" s="1"/>
  <c r="AI89" i="3"/>
  <c r="AG89" i="3"/>
  <c r="AE89" i="3"/>
  <c r="AC89" i="3"/>
  <c r="AB89" i="3"/>
  <c r="AB420" i="3" s="1"/>
  <c r="AA89" i="3"/>
  <c r="AA420" i="3" s="1"/>
  <c r="Z89" i="3"/>
  <c r="Z420" i="3" s="1"/>
  <c r="X89" i="3"/>
  <c r="X420" i="3" s="1"/>
  <c r="V89" i="3"/>
  <c r="V420" i="3" s="1"/>
  <c r="U89" i="3"/>
  <c r="U420" i="3" s="1"/>
  <c r="H89" i="3"/>
  <c r="H420" i="3" s="1"/>
  <c r="AH88" i="3"/>
  <c r="AF88" i="3"/>
  <c r="W88" i="3"/>
  <c r="W89" i="3" s="1"/>
  <c r="W420" i="3" s="1"/>
  <c r="T88" i="3"/>
  <c r="R88" i="3"/>
  <c r="P88" i="3"/>
  <c r="N88" i="3"/>
  <c r="L88" i="3"/>
  <c r="I88" i="3"/>
  <c r="M88" i="3" s="1"/>
  <c r="G88" i="3"/>
  <c r="K88" i="3" s="1"/>
  <c r="AH87" i="3"/>
  <c r="AF87" i="3"/>
  <c r="R87" i="3"/>
  <c r="Q87" i="3"/>
  <c r="P87" i="3"/>
  <c r="N87" i="3"/>
  <c r="M87" i="3"/>
  <c r="L87" i="3"/>
  <c r="G87" i="3"/>
  <c r="K87" i="3" s="1"/>
  <c r="AH86" i="3"/>
  <c r="AF86" i="3"/>
  <c r="R86" i="3"/>
  <c r="P86" i="3"/>
  <c r="N86" i="3"/>
  <c r="L86" i="3"/>
  <c r="I86" i="3"/>
  <c r="Q86" i="3" s="1"/>
  <c r="G86" i="3"/>
  <c r="K86" i="3" s="1"/>
  <c r="AH85" i="3"/>
  <c r="AF85" i="3"/>
  <c r="R85" i="3"/>
  <c r="Q85" i="3"/>
  <c r="P85" i="3"/>
  <c r="N85" i="3"/>
  <c r="M85" i="3"/>
  <c r="L85" i="3"/>
  <c r="G85" i="3"/>
  <c r="K85" i="3" s="1"/>
  <c r="AH84" i="3"/>
  <c r="AF84" i="3"/>
  <c r="R84" i="3"/>
  <c r="Q84" i="3"/>
  <c r="P84" i="3"/>
  <c r="N84" i="3"/>
  <c r="M84" i="3"/>
  <c r="L84" i="3"/>
  <c r="G84" i="3"/>
  <c r="K84" i="3" s="1"/>
  <c r="AH83" i="3"/>
  <c r="AF83" i="3"/>
  <c r="T83" i="3"/>
  <c r="R83" i="3"/>
  <c r="P83" i="3"/>
  <c r="N83" i="3"/>
  <c r="L83" i="3"/>
  <c r="K83" i="3"/>
  <c r="I83" i="3"/>
  <c r="M83" i="3" s="1"/>
  <c r="E83" i="3"/>
  <c r="AH82" i="3"/>
  <c r="AF82" i="3"/>
  <c r="T82" i="3"/>
  <c r="R82" i="3"/>
  <c r="Q82" i="3"/>
  <c r="P82" i="3"/>
  <c r="N82" i="3"/>
  <c r="M82" i="3"/>
  <c r="L82" i="3"/>
  <c r="K82" i="3"/>
  <c r="E82" i="3"/>
  <c r="Y82" i="3" s="1"/>
  <c r="AH81" i="3"/>
  <c r="AF81" i="3"/>
  <c r="R81" i="3"/>
  <c r="Q81" i="3"/>
  <c r="P81" i="3"/>
  <c r="N81" i="3"/>
  <c r="M81" i="3"/>
  <c r="L81" i="3"/>
  <c r="G81" i="3"/>
  <c r="K81" i="3" s="1"/>
  <c r="AH80" i="3"/>
  <c r="AF80" i="3"/>
  <c r="R80" i="3"/>
  <c r="P80" i="3"/>
  <c r="N80" i="3"/>
  <c r="L80" i="3"/>
  <c r="I80" i="3"/>
  <c r="Q80" i="3" s="1"/>
  <c r="G80" i="3"/>
  <c r="K80" i="3" s="1"/>
  <c r="AH79" i="3"/>
  <c r="AF79" i="3"/>
  <c r="P79" i="3"/>
  <c r="L79" i="3"/>
  <c r="J79" i="3"/>
  <c r="R79" i="3" s="1"/>
  <c r="I79" i="3"/>
  <c r="Q79" i="3" s="1"/>
  <c r="G79" i="3"/>
  <c r="K79" i="3" s="1"/>
  <c r="AH78" i="3"/>
  <c r="AF78" i="3"/>
  <c r="R78" i="3"/>
  <c r="Q78" i="3"/>
  <c r="P78" i="3"/>
  <c r="N78" i="3"/>
  <c r="M78" i="3"/>
  <c r="L78" i="3"/>
  <c r="G78" i="3"/>
  <c r="K78" i="3" s="1"/>
  <c r="AH77" i="3"/>
  <c r="AF77" i="3"/>
  <c r="R77" i="3"/>
  <c r="Q77" i="3"/>
  <c r="P77" i="3"/>
  <c r="N77" i="3"/>
  <c r="M77" i="3"/>
  <c r="L77" i="3"/>
  <c r="G77" i="3"/>
  <c r="K77" i="3" s="1"/>
  <c r="AH76" i="3"/>
  <c r="AF76" i="3"/>
  <c r="R76" i="3"/>
  <c r="Q76" i="3"/>
  <c r="P76" i="3"/>
  <c r="N76" i="3"/>
  <c r="M76" i="3"/>
  <c r="L76" i="3"/>
  <c r="G76" i="3"/>
  <c r="K76" i="3" s="1"/>
  <c r="AH75" i="3"/>
  <c r="AF75" i="3"/>
  <c r="T75" i="3"/>
  <c r="R75" i="3"/>
  <c r="Q75" i="3"/>
  <c r="P75" i="3"/>
  <c r="N75" i="3"/>
  <c r="M75" i="3"/>
  <c r="L75" i="3"/>
  <c r="E75" i="3"/>
  <c r="AH74" i="3"/>
  <c r="AF74" i="3"/>
  <c r="T74" i="3"/>
  <c r="R74" i="3"/>
  <c r="P74" i="3"/>
  <c r="N74" i="3"/>
  <c r="L74" i="3"/>
  <c r="K74" i="3"/>
  <c r="I74" i="3"/>
  <c r="Q74" i="3" s="1"/>
  <c r="E74" i="3"/>
  <c r="F74" i="3" s="1"/>
  <c r="AH73" i="3"/>
  <c r="AF73" i="3"/>
  <c r="R73" i="3"/>
  <c r="P73" i="3"/>
  <c r="N73" i="3"/>
  <c r="L73" i="3"/>
  <c r="I73" i="3"/>
  <c r="Q73" i="3" s="1"/>
  <c r="G73" i="3"/>
  <c r="K73" i="3" s="1"/>
  <c r="AH72" i="3"/>
  <c r="AF72" i="3"/>
  <c r="R72" i="3"/>
  <c r="P72" i="3"/>
  <c r="N72" i="3"/>
  <c r="L72" i="3"/>
  <c r="I72" i="3"/>
  <c r="Q72" i="3" s="1"/>
  <c r="G72" i="3"/>
  <c r="K72" i="3" s="1"/>
  <c r="AH71" i="3"/>
  <c r="AF71" i="3"/>
  <c r="Y71" i="3"/>
  <c r="T71" i="3"/>
  <c r="R71" i="3"/>
  <c r="P71" i="3"/>
  <c r="N71" i="3"/>
  <c r="L71" i="3"/>
  <c r="K71" i="3"/>
  <c r="I71" i="3"/>
  <c r="Q71" i="3" s="1"/>
  <c r="F71" i="3"/>
  <c r="AH70" i="3"/>
  <c r="AF70" i="3"/>
  <c r="T70" i="3"/>
  <c r="R70" i="3"/>
  <c r="P70" i="3"/>
  <c r="N70" i="3"/>
  <c r="L70" i="3"/>
  <c r="K70" i="3"/>
  <c r="I70" i="3"/>
  <c r="Q70" i="3" s="1"/>
  <c r="E70" i="3"/>
  <c r="Y70" i="3" s="1"/>
  <c r="AH69" i="3"/>
  <c r="AF69" i="3"/>
  <c r="T69" i="3"/>
  <c r="R69" i="3"/>
  <c r="P69" i="3"/>
  <c r="N69" i="3"/>
  <c r="L69" i="3"/>
  <c r="I69" i="3"/>
  <c r="G69" i="3"/>
  <c r="K69" i="3" s="1"/>
  <c r="AH68" i="3"/>
  <c r="AF68" i="3"/>
  <c r="R68" i="3"/>
  <c r="Q68" i="3"/>
  <c r="P68" i="3"/>
  <c r="N68" i="3"/>
  <c r="M68" i="3"/>
  <c r="L68" i="3"/>
  <c r="K68" i="3"/>
  <c r="E68" i="3"/>
  <c r="Y68" i="3" s="1"/>
  <c r="AH67" i="3"/>
  <c r="AF67" i="3"/>
  <c r="R67" i="3"/>
  <c r="P67" i="3"/>
  <c r="N67" i="3"/>
  <c r="L67" i="3"/>
  <c r="K67" i="3"/>
  <c r="I67" i="3"/>
  <c r="Q67" i="3" s="1"/>
  <c r="E67" i="3"/>
  <c r="AH66" i="3"/>
  <c r="AF66" i="3"/>
  <c r="R66" i="3"/>
  <c r="Q66" i="3"/>
  <c r="P66" i="3"/>
  <c r="N66" i="3"/>
  <c r="M66" i="3"/>
  <c r="L66" i="3"/>
  <c r="G66" i="3"/>
  <c r="K66" i="3" s="1"/>
  <c r="AH65" i="3"/>
  <c r="AF65" i="3"/>
  <c r="R65" i="3"/>
  <c r="P65" i="3"/>
  <c r="N65" i="3"/>
  <c r="L65" i="3"/>
  <c r="K65" i="3"/>
  <c r="I65" i="3"/>
  <c r="Q65" i="3" s="1"/>
  <c r="E65" i="3"/>
  <c r="Y65" i="3" s="1"/>
  <c r="AH64" i="3"/>
  <c r="AF64" i="3"/>
  <c r="R64" i="3"/>
  <c r="P64" i="3"/>
  <c r="N64" i="3"/>
  <c r="L64" i="3"/>
  <c r="I64" i="3"/>
  <c r="Q64" i="3" s="1"/>
  <c r="G64" i="3"/>
  <c r="AH63" i="3"/>
  <c r="AH89" i="3" s="1"/>
  <c r="AF63" i="3"/>
  <c r="AF89" i="3" s="1"/>
  <c r="P63" i="3"/>
  <c r="L63" i="3"/>
  <c r="K63" i="3"/>
  <c r="J63" i="3"/>
  <c r="I63" i="3"/>
  <c r="E63" i="3"/>
  <c r="Y63" i="3" s="1"/>
  <c r="AK62" i="3"/>
  <c r="R60" i="3"/>
  <c r="R417" i="3" s="1"/>
  <c r="Q60" i="3"/>
  <c r="Q417" i="3" s="1"/>
  <c r="P60" i="3"/>
  <c r="P417" i="3" s="1"/>
  <c r="N60" i="3"/>
  <c r="N417" i="3" s="1"/>
  <c r="M60" i="3"/>
  <c r="M417" i="3" s="1"/>
  <c r="F60" i="3"/>
  <c r="F417" i="3" s="1"/>
  <c r="AI59" i="3"/>
  <c r="AG59" i="3"/>
  <c r="AE59" i="3"/>
  <c r="AC59" i="3"/>
  <c r="AB59" i="3"/>
  <c r="AB416" i="3" s="1"/>
  <c r="AA59" i="3"/>
  <c r="AA416" i="3" s="1"/>
  <c r="Z59" i="3"/>
  <c r="Z416" i="3" s="1"/>
  <c r="X59" i="3"/>
  <c r="X416" i="3" s="1"/>
  <c r="V59" i="3"/>
  <c r="V416" i="3" s="1"/>
  <c r="U59" i="3"/>
  <c r="U416" i="3" s="1"/>
  <c r="AH58" i="3"/>
  <c r="AF58" i="3"/>
  <c r="T58" i="3"/>
  <c r="R58" i="3"/>
  <c r="I58" i="3" s="1"/>
  <c r="M58" i="3" s="1"/>
  <c r="P58" i="3"/>
  <c r="N58" i="3"/>
  <c r="L58" i="3"/>
  <c r="K58" i="3"/>
  <c r="E58" i="3"/>
  <c r="Y58" i="3" s="1"/>
  <c r="AH57" i="3"/>
  <c r="AF57" i="3"/>
  <c r="R57" i="3"/>
  <c r="P57" i="3"/>
  <c r="N57" i="3"/>
  <c r="L57" i="3"/>
  <c r="K57" i="3"/>
  <c r="I57" i="3"/>
  <c r="Q57" i="3" s="1"/>
  <c r="E57" i="3"/>
  <c r="Y57" i="3" s="1"/>
  <c r="AH56" i="3"/>
  <c r="AF56" i="3"/>
  <c r="R56" i="3"/>
  <c r="P56" i="3"/>
  <c r="N56" i="3"/>
  <c r="L56" i="3"/>
  <c r="I56" i="3"/>
  <c r="Q56" i="3" s="1"/>
  <c r="G56" i="3"/>
  <c r="K56" i="3" s="1"/>
  <c r="AH55" i="3"/>
  <c r="AF55" i="3"/>
  <c r="R55" i="3"/>
  <c r="P55" i="3"/>
  <c r="N55" i="3"/>
  <c r="L55" i="3"/>
  <c r="I55" i="3"/>
  <c r="Q55" i="3" s="1"/>
  <c r="G55" i="3"/>
  <c r="K55" i="3" s="1"/>
  <c r="AH54" i="3"/>
  <c r="AF54" i="3"/>
  <c r="W54" i="3"/>
  <c r="R54" i="3"/>
  <c r="Q54" i="3"/>
  <c r="P54" i="3"/>
  <c r="N54" i="3"/>
  <c r="M54" i="3"/>
  <c r="L54" i="3"/>
  <c r="K54" i="3"/>
  <c r="E54" i="3"/>
  <c r="Y54" i="3" s="1"/>
  <c r="AH53" i="3"/>
  <c r="AF53" i="3"/>
  <c r="T53" i="3"/>
  <c r="R53" i="3"/>
  <c r="Q53" i="3"/>
  <c r="P53" i="3"/>
  <c r="N53" i="3"/>
  <c r="M53" i="3"/>
  <c r="L53" i="3"/>
  <c r="K53" i="3"/>
  <c r="E53" i="3"/>
  <c r="Y53" i="3" s="1"/>
  <c r="AH52" i="3"/>
  <c r="AF52" i="3"/>
  <c r="W52" i="3"/>
  <c r="T52" i="3"/>
  <c r="R52" i="3"/>
  <c r="Q52" i="3"/>
  <c r="P52" i="3"/>
  <c r="N52" i="3"/>
  <c r="M52" i="3"/>
  <c r="L52" i="3"/>
  <c r="G52" i="3"/>
  <c r="K52" i="3" s="1"/>
  <c r="AH51" i="3"/>
  <c r="AF51" i="3"/>
  <c r="R51" i="3"/>
  <c r="P51" i="3"/>
  <c r="N51" i="3"/>
  <c r="L51" i="3"/>
  <c r="I51" i="3"/>
  <c r="Q51" i="3" s="1"/>
  <c r="G51" i="3"/>
  <c r="K51" i="3" s="1"/>
  <c r="AH50" i="3"/>
  <c r="AF50" i="3"/>
  <c r="R50" i="3"/>
  <c r="P50" i="3"/>
  <c r="N50" i="3"/>
  <c r="L50" i="3"/>
  <c r="I50" i="3"/>
  <c r="Q50" i="3" s="1"/>
  <c r="G50" i="3"/>
  <c r="K50" i="3" s="1"/>
  <c r="AH49" i="3"/>
  <c r="AF49" i="3"/>
  <c r="R49" i="3"/>
  <c r="N49" i="3"/>
  <c r="I49" i="3"/>
  <c r="Q49" i="3" s="1"/>
  <c r="H49" i="3"/>
  <c r="P49" i="3" s="1"/>
  <c r="G49" i="3"/>
  <c r="K49" i="3" s="1"/>
  <c r="AH48" i="3"/>
  <c r="AF48" i="3"/>
  <c r="T48" i="3"/>
  <c r="R48" i="3"/>
  <c r="P48" i="3"/>
  <c r="N48" i="3"/>
  <c r="L48" i="3"/>
  <c r="I48" i="3"/>
  <c r="Q48" i="3" s="1"/>
  <c r="G48" i="3"/>
  <c r="K48" i="3" s="1"/>
  <c r="AH47" i="3"/>
  <c r="AF47" i="3"/>
  <c r="R47" i="3"/>
  <c r="Q47" i="3"/>
  <c r="P47" i="3"/>
  <c r="N47" i="3"/>
  <c r="M47" i="3"/>
  <c r="L47" i="3"/>
  <c r="G47" i="3"/>
  <c r="K47" i="3" s="1"/>
  <c r="AH46" i="3"/>
  <c r="AF46" i="3"/>
  <c r="R46" i="3"/>
  <c r="P46" i="3"/>
  <c r="N46" i="3"/>
  <c r="L46" i="3"/>
  <c r="I46" i="3"/>
  <c r="G46" i="3"/>
  <c r="K46" i="3" s="1"/>
  <c r="AH45" i="3"/>
  <c r="AF45" i="3"/>
  <c r="R45" i="3"/>
  <c r="Q45" i="3"/>
  <c r="P45" i="3"/>
  <c r="N45" i="3"/>
  <c r="M45" i="3"/>
  <c r="L45" i="3"/>
  <c r="K45" i="3"/>
  <c r="E45" i="3"/>
  <c r="Y45" i="3" s="1"/>
  <c r="AH44" i="3"/>
  <c r="AF44" i="3"/>
  <c r="R44" i="3"/>
  <c r="Q44" i="3"/>
  <c r="P44" i="3"/>
  <c r="N44" i="3"/>
  <c r="M44" i="3"/>
  <c r="L44" i="3"/>
  <c r="G44" i="3"/>
  <c r="K44" i="3" s="1"/>
  <c r="AH43" i="3"/>
  <c r="AF43" i="3"/>
  <c r="Y43" i="3"/>
  <c r="W43" i="3"/>
  <c r="R43" i="3"/>
  <c r="P43" i="3"/>
  <c r="N43" i="3"/>
  <c r="L43" i="3"/>
  <c r="I43" i="3"/>
  <c r="Q43" i="3" s="1"/>
  <c r="G43" i="3"/>
  <c r="K43" i="3" s="1"/>
  <c r="F43" i="3"/>
  <c r="AH42" i="3"/>
  <c r="AF42" i="3"/>
  <c r="T42" i="3"/>
  <c r="R42" i="3"/>
  <c r="P42" i="3"/>
  <c r="N42" i="3"/>
  <c r="L42" i="3"/>
  <c r="K42" i="3"/>
  <c r="I42" i="3"/>
  <c r="Q42" i="3" s="1"/>
  <c r="E42" i="3"/>
  <c r="Y42" i="3" s="1"/>
  <c r="AH41" i="3"/>
  <c r="AF41" i="3"/>
  <c r="W41" i="3"/>
  <c r="T41" i="3"/>
  <c r="P41" i="3"/>
  <c r="L41" i="3"/>
  <c r="K41" i="3"/>
  <c r="J41" i="3"/>
  <c r="R41" i="3" s="1"/>
  <c r="I41" i="3"/>
  <c r="Q41" i="3" s="1"/>
  <c r="E41" i="3"/>
  <c r="Y41" i="3" s="1"/>
  <c r="AH40" i="3"/>
  <c r="AF40" i="3"/>
  <c r="R40" i="3"/>
  <c r="Q40" i="3"/>
  <c r="P40" i="3"/>
  <c r="N40" i="3"/>
  <c r="M40" i="3"/>
  <c r="L40" i="3"/>
  <c r="G40" i="3"/>
  <c r="K40" i="3" s="1"/>
  <c r="AH39" i="3"/>
  <c r="AF39" i="3"/>
  <c r="R39" i="3"/>
  <c r="Q39" i="3"/>
  <c r="P39" i="3"/>
  <c r="N39" i="3"/>
  <c r="M39" i="3"/>
  <c r="L39" i="3"/>
  <c r="G39" i="3"/>
  <c r="K39" i="3" s="1"/>
  <c r="AH38" i="3"/>
  <c r="AF38" i="3"/>
  <c r="R38" i="3"/>
  <c r="Q38" i="3"/>
  <c r="P38" i="3"/>
  <c r="N38" i="3"/>
  <c r="M38" i="3"/>
  <c r="L38" i="3"/>
  <c r="G38" i="3"/>
  <c r="K38" i="3" s="1"/>
  <c r="AH37" i="3"/>
  <c r="AF37" i="3"/>
  <c r="R37" i="3"/>
  <c r="P37" i="3"/>
  <c r="N37" i="3"/>
  <c r="L37" i="3"/>
  <c r="I37" i="3"/>
  <c r="Q37" i="3" s="1"/>
  <c r="G37" i="3"/>
  <c r="K37" i="3" s="1"/>
  <c r="AH36" i="3"/>
  <c r="AF36" i="3"/>
  <c r="R36" i="3"/>
  <c r="Q36" i="3"/>
  <c r="P36" i="3"/>
  <c r="N36" i="3"/>
  <c r="M36" i="3"/>
  <c r="L36" i="3"/>
  <c r="G36" i="3"/>
  <c r="K36" i="3" s="1"/>
  <c r="AH35" i="3"/>
  <c r="AF35" i="3"/>
  <c r="R35" i="3"/>
  <c r="P35" i="3"/>
  <c r="N35" i="3"/>
  <c r="L35" i="3"/>
  <c r="I35" i="3"/>
  <c r="M35" i="3" s="1"/>
  <c r="G35" i="3"/>
  <c r="K35" i="3" s="1"/>
  <c r="AH34" i="3"/>
  <c r="AF34" i="3"/>
  <c r="R34" i="3"/>
  <c r="Q34" i="3"/>
  <c r="P34" i="3"/>
  <c r="N34" i="3"/>
  <c r="M34" i="3"/>
  <c r="L34" i="3"/>
  <c r="G34" i="3"/>
  <c r="K34" i="3" s="1"/>
  <c r="AH33" i="3"/>
  <c r="AF33" i="3"/>
  <c r="T33" i="3"/>
  <c r="R33" i="3"/>
  <c r="P33" i="3"/>
  <c r="N33" i="3"/>
  <c r="L33" i="3"/>
  <c r="I33" i="3"/>
  <c r="M33" i="3" s="1"/>
  <c r="G33" i="3"/>
  <c r="K33" i="3" s="1"/>
  <c r="AH32" i="3"/>
  <c r="AF32" i="3"/>
  <c r="T32" i="3"/>
  <c r="R32" i="3"/>
  <c r="Q32" i="3"/>
  <c r="P32" i="3"/>
  <c r="N32" i="3"/>
  <c r="M32" i="3"/>
  <c r="L32" i="3"/>
  <c r="G32" i="3"/>
  <c r="K32" i="3" s="1"/>
  <c r="AH31" i="3"/>
  <c r="AF31" i="3"/>
  <c r="R31" i="3"/>
  <c r="Q31" i="3"/>
  <c r="P31" i="3"/>
  <c r="N31" i="3"/>
  <c r="M31" i="3"/>
  <c r="L31" i="3"/>
  <c r="G31" i="3"/>
  <c r="K31" i="3" s="1"/>
  <c r="AH30" i="3"/>
  <c r="AF30" i="3"/>
  <c r="R30" i="3"/>
  <c r="P30" i="3"/>
  <c r="N30" i="3"/>
  <c r="L30" i="3"/>
  <c r="I30" i="3"/>
  <c r="G30" i="3"/>
  <c r="K30" i="3" s="1"/>
  <c r="AH29" i="3"/>
  <c r="AF29" i="3"/>
  <c r="T29" i="3"/>
  <c r="R29" i="3"/>
  <c r="P29" i="3"/>
  <c r="N29" i="3"/>
  <c r="L29" i="3"/>
  <c r="I29" i="3"/>
  <c r="G29" i="3"/>
  <c r="K29" i="3" s="1"/>
  <c r="AH28" i="3"/>
  <c r="AF28" i="3"/>
  <c r="T28" i="3"/>
  <c r="R28" i="3"/>
  <c r="Q28" i="3"/>
  <c r="P28" i="3"/>
  <c r="N28" i="3"/>
  <c r="M28" i="3"/>
  <c r="L28" i="3"/>
  <c r="E28" i="3"/>
  <c r="G28" i="3" s="1"/>
  <c r="K28" i="3" s="1"/>
  <c r="AH27" i="3"/>
  <c r="AF27" i="3"/>
  <c r="Y27" i="3"/>
  <c r="T27" i="3"/>
  <c r="R27" i="3"/>
  <c r="Q27" i="3"/>
  <c r="P27" i="3"/>
  <c r="N27" i="3"/>
  <c r="M27" i="3"/>
  <c r="L27" i="3"/>
  <c r="G27" i="3"/>
  <c r="K27" i="3" s="1"/>
  <c r="F27" i="3"/>
  <c r="AH26" i="3"/>
  <c r="AF26" i="3"/>
  <c r="W26" i="3"/>
  <c r="J26" i="3"/>
  <c r="I26" i="3"/>
  <c r="Q26" i="3" s="1"/>
  <c r="H26" i="3"/>
  <c r="E26" i="3"/>
  <c r="Y26" i="3" s="1"/>
  <c r="AH25" i="3"/>
  <c r="AF25" i="3"/>
  <c r="R25" i="3"/>
  <c r="Q25" i="3"/>
  <c r="P25" i="3"/>
  <c r="N25" i="3"/>
  <c r="M25" i="3"/>
  <c r="L25" i="3"/>
  <c r="K25" i="3"/>
  <c r="E25" i="3"/>
  <c r="Y25" i="3" s="1"/>
  <c r="AH24" i="3"/>
  <c r="AF24" i="3"/>
  <c r="T24" i="3"/>
  <c r="R24" i="3"/>
  <c r="Q24" i="3"/>
  <c r="P24" i="3"/>
  <c r="N24" i="3"/>
  <c r="M24" i="3"/>
  <c r="L24" i="3"/>
  <c r="G24" i="3"/>
  <c r="K24" i="3" s="1"/>
  <c r="AH23" i="3"/>
  <c r="AF23" i="3"/>
  <c r="R23" i="3"/>
  <c r="Q23" i="3"/>
  <c r="P23" i="3"/>
  <c r="N23" i="3"/>
  <c r="M23" i="3"/>
  <c r="L23" i="3"/>
  <c r="G23" i="3"/>
  <c r="K23" i="3" s="1"/>
  <c r="AH22" i="3"/>
  <c r="AF22" i="3"/>
  <c r="T22" i="3"/>
  <c r="R22" i="3"/>
  <c r="P22" i="3"/>
  <c r="N22" i="3"/>
  <c r="L22" i="3"/>
  <c r="K22" i="3"/>
  <c r="I22" i="3"/>
  <c r="M22" i="3" s="1"/>
  <c r="E22" i="3"/>
  <c r="Y22" i="3" s="1"/>
  <c r="AH21" i="3"/>
  <c r="AF21" i="3"/>
  <c r="W21" i="3"/>
  <c r="T21" i="3"/>
  <c r="R21" i="3"/>
  <c r="P21" i="3"/>
  <c r="N21" i="3"/>
  <c r="L21" i="3"/>
  <c r="I21" i="3"/>
  <c r="Q21" i="3" s="1"/>
  <c r="G21" i="3"/>
  <c r="K21" i="3" s="1"/>
  <c r="AH20" i="3"/>
  <c r="AF20" i="3"/>
  <c r="T20" i="3"/>
  <c r="R20" i="3"/>
  <c r="Q20" i="3"/>
  <c r="P20" i="3"/>
  <c r="N20" i="3"/>
  <c r="M20" i="3"/>
  <c r="L20" i="3"/>
  <c r="G20" i="3"/>
  <c r="K20" i="3" s="1"/>
  <c r="AH19" i="3"/>
  <c r="AF19" i="3"/>
  <c r="T19" i="3"/>
  <c r="R19" i="3"/>
  <c r="Q19" i="3"/>
  <c r="P19" i="3"/>
  <c r="N19" i="3"/>
  <c r="M19" i="3"/>
  <c r="L19" i="3"/>
  <c r="K19" i="3"/>
  <c r="E19" i="3"/>
  <c r="Y19" i="3" s="1"/>
  <c r="AH18" i="3"/>
  <c r="AF18" i="3"/>
  <c r="R18" i="3"/>
  <c r="Q18" i="3"/>
  <c r="P18" i="3"/>
  <c r="N18" i="3"/>
  <c r="M18" i="3"/>
  <c r="L18" i="3"/>
  <c r="G18" i="3"/>
  <c r="K18" i="3" s="1"/>
  <c r="AH17" i="3"/>
  <c r="AF17" i="3"/>
  <c r="R17" i="3"/>
  <c r="P17" i="3"/>
  <c r="N17" i="3"/>
  <c r="L17" i="3"/>
  <c r="K17" i="3"/>
  <c r="I17" i="3"/>
  <c r="M17" i="3" s="1"/>
  <c r="E17" i="3"/>
  <c r="Y17" i="3" s="1"/>
  <c r="AH16" i="3"/>
  <c r="AF16" i="3"/>
  <c r="R16" i="3"/>
  <c r="Q16" i="3"/>
  <c r="P16" i="3"/>
  <c r="N16" i="3"/>
  <c r="M16" i="3"/>
  <c r="L16" i="3"/>
  <c r="E16" i="3"/>
  <c r="AH15" i="3"/>
  <c r="AH59" i="3" s="1"/>
  <c r="AF15" i="3"/>
  <c r="AF59" i="3" s="1"/>
  <c r="R15" i="3"/>
  <c r="Q15" i="3"/>
  <c r="P15" i="3"/>
  <c r="N15" i="3"/>
  <c r="M15" i="3"/>
  <c r="L15" i="3"/>
  <c r="K15" i="3"/>
  <c r="B13" i="3"/>
  <c r="AM230" i="3" l="1"/>
  <c r="AM262" i="3"/>
  <c r="AL268" i="3"/>
  <c r="AL280" i="3"/>
  <c r="AM284" i="3"/>
  <c r="X444" i="3"/>
  <c r="AM232" i="3"/>
  <c r="BA40" i="2"/>
  <c r="AM234" i="3"/>
  <c r="AL276" i="3"/>
  <c r="AL219" i="3"/>
  <c r="AL258" i="3"/>
  <c r="Z191" i="3"/>
  <c r="Z430" i="3" s="1"/>
  <c r="Z435" i="3" s="1"/>
  <c r="Z437" i="3" s="1"/>
  <c r="AI191" i="3"/>
  <c r="AL214" i="3"/>
  <c r="AE462" i="3"/>
  <c r="AK462" i="3"/>
  <c r="R426" i="3"/>
  <c r="AL256" i="3"/>
  <c r="AF191" i="3"/>
  <c r="U191" i="3"/>
  <c r="U430" i="3" s="1"/>
  <c r="U435" i="3" s="1"/>
  <c r="U437" i="3" s="1"/>
  <c r="AC191" i="3"/>
  <c r="AM205" i="3"/>
  <c r="AL208" i="3"/>
  <c r="AL210" i="3"/>
  <c r="AM222" i="3"/>
  <c r="AM246" i="3"/>
  <c r="O20" i="3"/>
  <c r="AD20" i="3" s="1"/>
  <c r="O23" i="3"/>
  <c r="AD23" i="3" s="1"/>
  <c r="M426" i="3"/>
  <c r="S108" i="3"/>
  <c r="S170" i="3"/>
  <c r="AL209" i="3"/>
  <c r="AL212" i="3"/>
  <c r="AM213" i="3"/>
  <c r="AM217" i="3"/>
  <c r="O224" i="3"/>
  <c r="AD224" i="3" s="1"/>
  <c r="AL226" i="3"/>
  <c r="AM238" i="3"/>
  <c r="AL240" i="3"/>
  <c r="S241" i="3"/>
  <c r="AL244" i="3"/>
  <c r="AM251" i="3"/>
  <c r="AM270" i="3"/>
  <c r="O272" i="3"/>
  <c r="AD272" i="3" s="1"/>
  <c r="X451" i="3"/>
  <c r="S363" i="3"/>
  <c r="O372" i="3"/>
  <c r="AD372" i="3" s="1"/>
  <c r="Q400" i="3"/>
  <c r="Q456" i="3" s="1"/>
  <c r="AF462" i="3"/>
  <c r="U425" i="3"/>
  <c r="N426" i="3"/>
  <c r="AH191" i="3"/>
  <c r="G444" i="3"/>
  <c r="G446" i="3" s="1"/>
  <c r="V444" i="3"/>
  <c r="V446" i="3" s="1"/>
  <c r="H451" i="3"/>
  <c r="R400" i="3"/>
  <c r="R456" i="3" s="1"/>
  <c r="N463" i="3"/>
  <c r="S74" i="3"/>
  <c r="X457" i="3"/>
  <c r="X459" i="3" s="1"/>
  <c r="H426" i="3"/>
  <c r="H462" i="3" s="1"/>
  <c r="S161" i="3"/>
  <c r="S176" i="3"/>
  <c r="O188" i="3"/>
  <c r="AD188" i="3" s="1"/>
  <c r="AM209" i="3"/>
  <c r="O221" i="3"/>
  <c r="AL222" i="3"/>
  <c r="O228" i="3"/>
  <c r="AD228" i="3" s="1"/>
  <c r="O236" i="3"/>
  <c r="AD236" i="3" s="1"/>
  <c r="AL237" i="3"/>
  <c r="O239" i="3"/>
  <c r="AD239" i="3" s="1"/>
  <c r="AM240" i="3"/>
  <c r="O242" i="3"/>
  <c r="AD242" i="3" s="1"/>
  <c r="AM259" i="3"/>
  <c r="AM264" i="3"/>
  <c r="O267" i="3"/>
  <c r="AD267" i="3" s="1"/>
  <c r="AL269" i="3"/>
  <c r="AM281" i="3"/>
  <c r="O283" i="3"/>
  <c r="AL284" i="3"/>
  <c r="S285" i="3"/>
  <c r="O303" i="3"/>
  <c r="AD303" i="3" s="1"/>
  <c r="Z451" i="3"/>
  <c r="O371" i="3"/>
  <c r="AD371" i="3" s="1"/>
  <c r="S399" i="3"/>
  <c r="K426" i="3"/>
  <c r="O68" i="3"/>
  <c r="AD68" i="3" s="1"/>
  <c r="X191" i="3"/>
  <c r="X201" i="3" s="1"/>
  <c r="AG191" i="3"/>
  <c r="AJ404" i="3"/>
  <c r="O210" i="3"/>
  <c r="AD210" i="3" s="1"/>
  <c r="AM224" i="3"/>
  <c r="O235" i="3"/>
  <c r="AD234" i="3" s="1"/>
  <c r="S264" i="3"/>
  <c r="O265" i="3"/>
  <c r="AD265" i="3" s="1"/>
  <c r="S274" i="3"/>
  <c r="O275" i="3"/>
  <c r="AD275" i="3" s="1"/>
  <c r="S277" i="3"/>
  <c r="H444" i="3"/>
  <c r="H446" i="3" s="1"/>
  <c r="AH462" i="3"/>
  <c r="V425" i="3"/>
  <c r="S52" i="3"/>
  <c r="T190" i="3"/>
  <c r="O206" i="3"/>
  <c r="AD206" i="3" s="1"/>
  <c r="O217" i="3"/>
  <c r="S222" i="3"/>
  <c r="AL242" i="3"/>
  <c r="AL257" i="3"/>
  <c r="AM261" i="3"/>
  <c r="S262" i="3"/>
  <c r="AL266" i="3"/>
  <c r="J451" i="3"/>
  <c r="S384" i="3"/>
  <c r="S454" i="3"/>
  <c r="S463" i="3" s="1"/>
  <c r="S28" i="3"/>
  <c r="AK28" i="3" s="1"/>
  <c r="O33" i="3"/>
  <c r="AD33" i="3" s="1"/>
  <c r="O216" i="3"/>
  <c r="AD216" i="3" s="1"/>
  <c r="O248" i="3"/>
  <c r="AD248" i="3" s="1"/>
  <c r="S249" i="3"/>
  <c r="S312" i="3"/>
  <c r="O313" i="3"/>
  <c r="AD313" i="3" s="1"/>
  <c r="O332" i="3"/>
  <c r="AD332" i="3" s="1"/>
  <c r="S336" i="3"/>
  <c r="O338" i="3"/>
  <c r="AD338" i="3" s="1"/>
  <c r="U451" i="3"/>
  <c r="O367" i="3"/>
  <c r="O388" i="3"/>
  <c r="AD388" i="3" s="1"/>
  <c r="N400" i="3"/>
  <c r="N456" i="3" s="1"/>
  <c r="S27" i="3"/>
  <c r="AK27" i="3" s="1"/>
  <c r="O76" i="3"/>
  <c r="AB191" i="3"/>
  <c r="AB430" i="3" s="1"/>
  <c r="E190" i="3"/>
  <c r="AL213" i="3"/>
  <c r="AM241" i="3"/>
  <c r="AM252" i="3"/>
  <c r="T444" i="3"/>
  <c r="T446" i="3" s="1"/>
  <c r="O308" i="3"/>
  <c r="AD308" i="3" s="1"/>
  <c r="O381" i="3"/>
  <c r="R463" i="3"/>
  <c r="Q22" i="3"/>
  <c r="S23" i="3"/>
  <c r="AK23" i="3" s="1"/>
  <c r="Q33" i="3"/>
  <c r="S33" i="3" s="1"/>
  <c r="AK33" i="3" s="1"/>
  <c r="L49" i="3"/>
  <c r="M67" i="3"/>
  <c r="O67" i="3" s="1"/>
  <c r="AD67" i="3" s="1"/>
  <c r="M71" i="3"/>
  <c r="O71" i="3" s="1"/>
  <c r="AD71" i="3" s="1"/>
  <c r="M73" i="3"/>
  <c r="M74" i="3"/>
  <c r="Y74" i="3"/>
  <c r="S86" i="3"/>
  <c r="Q88" i="3"/>
  <c r="S88" i="3" s="1"/>
  <c r="F129" i="3"/>
  <c r="S129" i="3"/>
  <c r="F130" i="3"/>
  <c r="F134" i="3"/>
  <c r="Q146" i="3"/>
  <c r="S162" i="3"/>
  <c r="F163" i="3"/>
  <c r="F173" i="3"/>
  <c r="F179" i="3"/>
  <c r="S211" i="3"/>
  <c r="Y213" i="3"/>
  <c r="S217" i="3"/>
  <c r="AK217" i="3" s="1"/>
  <c r="S240" i="3"/>
  <c r="S243" i="3"/>
  <c r="AM244" i="3"/>
  <c r="F255" i="3"/>
  <c r="S258" i="3"/>
  <c r="F267" i="3"/>
  <c r="S271" i="3"/>
  <c r="F306" i="3"/>
  <c r="F352" i="3"/>
  <c r="M354" i="3"/>
  <c r="S358" i="3"/>
  <c r="Q360" i="3"/>
  <c r="S360" i="3" s="1"/>
  <c r="Q368" i="3"/>
  <c r="S368" i="3" s="1"/>
  <c r="S369" i="3"/>
  <c r="Y376" i="3"/>
  <c r="Q377" i="3"/>
  <c r="S377" i="3" s="1"/>
  <c r="M382" i="3"/>
  <c r="O382" i="3" s="1"/>
  <c r="S394" i="3"/>
  <c r="I426" i="3"/>
  <c r="I462" i="3" s="1"/>
  <c r="S106" i="3"/>
  <c r="F137" i="3"/>
  <c r="Y137" i="3"/>
  <c r="Y236" i="3"/>
  <c r="F236" i="3"/>
  <c r="F22" i="3"/>
  <c r="S22" i="3"/>
  <c r="AK22" i="3" s="1"/>
  <c r="S76" i="3"/>
  <c r="Y132" i="3"/>
  <c r="F132" i="3"/>
  <c r="Q187" i="3"/>
  <c r="Q190" i="3" s="1"/>
  <c r="M187" i="3"/>
  <c r="O187" i="3" s="1"/>
  <c r="AD187" i="3" s="1"/>
  <c r="AL207" i="3"/>
  <c r="Q69" i="3"/>
  <c r="S69" i="3" s="1"/>
  <c r="M69" i="3"/>
  <c r="O69" i="3" s="1"/>
  <c r="M29" i="3"/>
  <c r="O29" i="3" s="1"/>
  <c r="AD29" i="3" s="1"/>
  <c r="Q29" i="3"/>
  <c r="S29" i="3" s="1"/>
  <c r="AK29" i="3" s="1"/>
  <c r="E59" i="3"/>
  <c r="E416" i="3" s="1"/>
  <c r="Z425" i="3"/>
  <c r="Z429" i="3" s="1"/>
  <c r="O31" i="3"/>
  <c r="AD31" i="3" s="1"/>
  <c r="S51" i="3"/>
  <c r="Q390" i="3"/>
  <c r="S390" i="3" s="1"/>
  <c r="M390" i="3"/>
  <c r="O390" i="3" s="1"/>
  <c r="AD390" i="3" s="1"/>
  <c r="S247" i="3"/>
  <c r="P341" i="3"/>
  <c r="P447" i="3" s="1"/>
  <c r="P451" i="3" s="1"/>
  <c r="S337" i="3"/>
  <c r="S359" i="3"/>
  <c r="S21" i="3"/>
  <c r="AK21" i="3" s="1"/>
  <c r="S263" i="3"/>
  <c r="S316" i="3"/>
  <c r="AB343" i="3"/>
  <c r="AB448" i="3" s="1"/>
  <c r="AB451" i="3" s="1"/>
  <c r="AA457" i="3"/>
  <c r="AA459" i="3" s="1"/>
  <c r="S19" i="3"/>
  <c r="AK19" i="3" s="1"/>
  <c r="S25" i="3"/>
  <c r="AK25" i="3" s="1"/>
  <c r="O32" i="3"/>
  <c r="AD32" i="3" s="1"/>
  <c r="S34" i="3"/>
  <c r="AK34" i="3" s="1"/>
  <c r="S36" i="3"/>
  <c r="AK36" i="3" s="1"/>
  <c r="O38" i="3"/>
  <c r="AD38" i="3" s="1"/>
  <c r="O40" i="3"/>
  <c r="AD40" i="3" s="1"/>
  <c r="S47" i="3"/>
  <c r="F54" i="3"/>
  <c r="F63" i="3"/>
  <c r="O84" i="3"/>
  <c r="F108" i="3"/>
  <c r="S146" i="3"/>
  <c r="S147" i="3"/>
  <c r="S152" i="3"/>
  <c r="O153" i="3"/>
  <c r="AD153" i="3" s="1"/>
  <c r="O156" i="3"/>
  <c r="M166" i="3"/>
  <c r="O166" i="3" s="1"/>
  <c r="F182" i="3"/>
  <c r="AM208" i="3"/>
  <c r="S209" i="3"/>
  <c r="S213" i="3"/>
  <c r="S214" i="3"/>
  <c r="S215" i="3"/>
  <c r="S224" i="3"/>
  <c r="O227" i="3"/>
  <c r="AD227" i="3" s="1"/>
  <c r="S230" i="3"/>
  <c r="O231" i="3"/>
  <c r="AD231" i="3" s="1"/>
  <c r="S232" i="3"/>
  <c r="O233" i="3"/>
  <c r="AD233" i="3" s="1"/>
  <c r="AM237" i="3"/>
  <c r="AL250" i="3"/>
  <c r="O253" i="3"/>
  <c r="AD253" i="3" s="1"/>
  <c r="AL254" i="3"/>
  <c r="AL255" i="3"/>
  <c r="AM256" i="3"/>
  <c r="S261" i="3"/>
  <c r="AM273" i="3"/>
  <c r="AM276" i="3"/>
  <c r="AL279" i="3"/>
  <c r="AM280" i="3"/>
  <c r="O282" i="3"/>
  <c r="AD282" i="3" s="1"/>
  <c r="AL283" i="3"/>
  <c r="S284" i="3"/>
  <c r="O285" i="3"/>
  <c r="AD285" i="3" s="1"/>
  <c r="F307" i="3"/>
  <c r="S314" i="3"/>
  <c r="S335" i="3"/>
  <c r="O336" i="3"/>
  <c r="S340" i="3"/>
  <c r="S357" i="3"/>
  <c r="S383" i="3"/>
  <c r="M395" i="3"/>
  <c r="O398" i="3"/>
  <c r="E426" i="3"/>
  <c r="E462" i="3" s="1"/>
  <c r="L406" i="3"/>
  <c r="S100" i="3"/>
  <c r="S150" i="3"/>
  <c r="S153" i="3"/>
  <c r="S205" i="3"/>
  <c r="S278" i="3"/>
  <c r="V451" i="3"/>
  <c r="P426" i="3"/>
  <c r="P462" i="3" s="1"/>
  <c r="O105" i="3"/>
  <c r="AD105" i="3" s="1"/>
  <c r="O110" i="3"/>
  <c r="AD110" i="3" s="1"/>
  <c r="O125" i="3"/>
  <c r="AD125" i="3" s="1"/>
  <c r="S136" i="3"/>
  <c r="O142" i="3"/>
  <c r="AD142" i="3" s="1"/>
  <c r="O146" i="3"/>
  <c r="AD146" i="3" s="1"/>
  <c r="O147" i="3"/>
  <c r="AD147" i="3" s="1"/>
  <c r="P151" i="3"/>
  <c r="S151" i="3" s="1"/>
  <c r="S175" i="3"/>
  <c r="AL216" i="3"/>
  <c r="O226" i="3"/>
  <c r="AD226" i="3" s="1"/>
  <c r="AL249" i="3"/>
  <c r="AM250" i="3"/>
  <c r="AM254" i="3"/>
  <c r="AM255" i="3"/>
  <c r="AM260" i="3"/>
  <c r="AM271" i="3"/>
  <c r="S272" i="3"/>
  <c r="O274" i="3"/>
  <c r="AL275" i="3"/>
  <c r="S276" i="3"/>
  <c r="O277" i="3"/>
  <c r="AK277" i="3" s="1"/>
  <c r="AM279" i="3"/>
  <c r="S280" i="3"/>
  <c r="AA444" i="3"/>
  <c r="AA446" i="3" s="1"/>
  <c r="O321" i="3"/>
  <c r="AD321" i="3" s="1"/>
  <c r="S325" i="3"/>
  <c r="O327" i="3"/>
  <c r="AD327" i="3" s="1"/>
  <c r="S333" i="3"/>
  <c r="S356" i="3"/>
  <c r="O357" i="3"/>
  <c r="S361" i="3"/>
  <c r="S382" i="3"/>
  <c r="U457" i="3"/>
  <c r="U459" i="3" s="1"/>
  <c r="M463" i="3"/>
  <c r="S186" i="3"/>
  <c r="S388" i="3"/>
  <c r="S84" i="3"/>
  <c r="AK84" i="3" s="1"/>
  <c r="O88" i="3"/>
  <c r="AD88" i="3" s="1"/>
  <c r="Y406" i="3"/>
  <c r="P286" i="3"/>
  <c r="P438" i="3" s="1"/>
  <c r="P444" i="3" s="1"/>
  <c r="P446" i="3" s="1"/>
  <c r="S328" i="3"/>
  <c r="F355" i="3"/>
  <c r="J426" i="3"/>
  <c r="J462" i="3" s="1"/>
  <c r="S18" i="3"/>
  <c r="AK18" i="3" s="1"/>
  <c r="O19" i="3"/>
  <c r="AD19" i="3" s="1"/>
  <c r="M21" i="3"/>
  <c r="O21" i="3" s="1"/>
  <c r="AD21" i="3" s="1"/>
  <c r="O36" i="3"/>
  <c r="AD36" i="3" s="1"/>
  <c r="S39" i="3"/>
  <c r="AK39" i="3" s="1"/>
  <c r="S31" i="3"/>
  <c r="AK31" i="3" s="1"/>
  <c r="M55" i="3"/>
  <c r="O55" i="3" s="1"/>
  <c r="F58" i="3"/>
  <c r="S80" i="3"/>
  <c r="V406" i="3"/>
  <c r="O120" i="3"/>
  <c r="AD120" i="3" s="1"/>
  <c r="O128" i="3"/>
  <c r="AD128" i="3" s="1"/>
  <c r="O129" i="3"/>
  <c r="AD129" i="3" s="1"/>
  <c r="O144" i="3"/>
  <c r="AD144" i="3" s="1"/>
  <c r="L145" i="3"/>
  <c r="F164" i="3"/>
  <c r="N190" i="3"/>
  <c r="O219" i="3"/>
  <c r="AD219" i="3" s="1"/>
  <c r="AL227" i="3"/>
  <c r="AL246" i="3"/>
  <c r="AM247" i="3"/>
  <c r="AM249" i="3"/>
  <c r="S256" i="3"/>
  <c r="F257" i="3"/>
  <c r="AM258" i="3"/>
  <c r="AL270" i="3"/>
  <c r="AL272" i="3"/>
  <c r="S273" i="3"/>
  <c r="S279" i="3"/>
  <c r="S324" i="3"/>
  <c r="S330" i="3"/>
  <c r="M400" i="3"/>
  <c r="M456" i="3" s="1"/>
  <c r="G426" i="3"/>
  <c r="Y156" i="3"/>
  <c r="F156" i="3"/>
  <c r="Q46" i="3"/>
  <c r="S46" i="3" s="1"/>
  <c r="M46" i="3"/>
  <c r="O46" i="3" s="1"/>
  <c r="AD46" i="3" s="1"/>
  <c r="Y67" i="3"/>
  <c r="F67" i="3"/>
  <c r="O47" i="3"/>
  <c r="AD47" i="3" s="1"/>
  <c r="O17" i="3"/>
  <c r="AD17" i="3" s="1"/>
  <c r="Q30" i="3"/>
  <c r="S30" i="3" s="1"/>
  <c r="AK30" i="3" s="1"/>
  <c r="M30" i="3"/>
  <c r="O30" i="3" s="1"/>
  <c r="AD30" i="3" s="1"/>
  <c r="F83" i="3"/>
  <c r="Y83" i="3"/>
  <c r="T184" i="3"/>
  <c r="Q103" i="3"/>
  <c r="S103" i="3" s="1"/>
  <c r="M103" i="3"/>
  <c r="O103" i="3" s="1"/>
  <c r="Y172" i="3"/>
  <c r="F172" i="3"/>
  <c r="O22" i="3"/>
  <c r="AD22" i="3" s="1"/>
  <c r="S50" i="3"/>
  <c r="I89" i="3"/>
  <c r="I420" i="3" s="1"/>
  <c r="Q83" i="3"/>
  <c r="S83" i="3" s="1"/>
  <c r="Y159" i="3"/>
  <c r="F159" i="3"/>
  <c r="O182" i="3"/>
  <c r="Y264" i="3"/>
  <c r="F264" i="3"/>
  <c r="Q380" i="3"/>
  <c r="S380" i="3" s="1"/>
  <c r="M380" i="3"/>
  <c r="O380" i="3" s="1"/>
  <c r="T59" i="3"/>
  <c r="T416" i="3" s="1"/>
  <c r="H59" i="3"/>
  <c r="H94" i="3" s="1"/>
  <c r="O28" i="3"/>
  <c r="AD28" i="3" s="1"/>
  <c r="O35" i="3"/>
  <c r="AD35" i="3" s="1"/>
  <c r="Q35" i="3"/>
  <c r="S35" i="3" s="1"/>
  <c r="AK35" i="3" s="1"/>
  <c r="S37" i="3"/>
  <c r="AK37" i="3" s="1"/>
  <c r="S44" i="3"/>
  <c r="O45" i="3"/>
  <c r="AD45" i="3" s="1"/>
  <c r="S48" i="3"/>
  <c r="S67" i="3"/>
  <c r="O73" i="3"/>
  <c r="AD73" i="3" s="1"/>
  <c r="S73" i="3"/>
  <c r="G75" i="3"/>
  <c r="K75" i="3" s="1"/>
  <c r="O75" i="3" s="1"/>
  <c r="AD75" i="3" s="1"/>
  <c r="F75" i="3"/>
  <c r="S78" i="3"/>
  <c r="S81" i="3"/>
  <c r="O82" i="3"/>
  <c r="O83" i="3"/>
  <c r="S111" i="3"/>
  <c r="S132" i="3"/>
  <c r="O133" i="3"/>
  <c r="S137" i="3"/>
  <c r="S138" i="3"/>
  <c r="S140" i="3"/>
  <c r="O141" i="3"/>
  <c r="AD141" i="3" s="1"/>
  <c r="S143" i="3"/>
  <c r="M152" i="3"/>
  <c r="S160" i="3"/>
  <c r="O161" i="3"/>
  <c r="AD161" i="3" s="1"/>
  <c r="S165" i="3"/>
  <c r="Q169" i="3"/>
  <c r="S169" i="3" s="1"/>
  <c r="M169" i="3"/>
  <c r="O169" i="3" s="1"/>
  <c r="O178" i="3"/>
  <c r="AD178" i="3" s="1"/>
  <c r="Y181" i="3"/>
  <c r="F181" i="3"/>
  <c r="O183" i="3"/>
  <c r="Q183" i="3"/>
  <c r="S183" i="3" s="1"/>
  <c r="S188" i="3"/>
  <c r="K286" i="3"/>
  <c r="K438" i="3" s="1"/>
  <c r="K444" i="3" s="1"/>
  <c r="K446" i="3" s="1"/>
  <c r="AL206" i="3"/>
  <c r="AM207" i="3"/>
  <c r="AM214" i="3"/>
  <c r="AL215" i="3"/>
  <c r="S216" i="3"/>
  <c r="O241" i="3"/>
  <c r="AD241" i="3" s="1"/>
  <c r="S252" i="3"/>
  <c r="O259" i="3"/>
  <c r="AD259" i="3" s="1"/>
  <c r="AL260" i="3"/>
  <c r="Y262" i="3"/>
  <c r="F262" i="3"/>
  <c r="R341" i="3"/>
  <c r="R447" i="3" s="1"/>
  <c r="R451" i="3" s="1"/>
  <c r="Y316" i="3"/>
  <c r="F316" i="3"/>
  <c r="P396" i="3"/>
  <c r="P452" i="3" s="1"/>
  <c r="W59" i="3"/>
  <c r="W416" i="3" s="1"/>
  <c r="W425" i="3" s="1"/>
  <c r="S32" i="3"/>
  <c r="AK32" i="3" s="1"/>
  <c r="S45" i="3"/>
  <c r="Q58" i="3"/>
  <c r="S58" i="3" s="1"/>
  <c r="S75" i="3"/>
  <c r="O18" i="3"/>
  <c r="AD18" i="3" s="1"/>
  <c r="O27" i="3"/>
  <c r="AD27" i="3" s="1"/>
  <c r="O39" i="3"/>
  <c r="AD39" i="3" s="1"/>
  <c r="M50" i="3"/>
  <c r="O50" i="3" s="1"/>
  <c r="O78" i="3"/>
  <c r="AD78" i="3" s="1"/>
  <c r="W184" i="3"/>
  <c r="Y114" i="3"/>
  <c r="F114" i="3"/>
  <c r="O127" i="3"/>
  <c r="AD127" i="3" s="1"/>
  <c r="O138" i="3"/>
  <c r="AD138" i="3" s="1"/>
  <c r="Y143" i="3"/>
  <c r="F143" i="3"/>
  <c r="O167" i="3"/>
  <c r="AD167" i="3" s="1"/>
  <c r="AM227" i="3"/>
  <c r="R229" i="3"/>
  <c r="AM229" i="3" s="1"/>
  <c r="O230" i="3"/>
  <c r="AD230" i="3" s="1"/>
  <c r="O232" i="3"/>
  <c r="O234" i="3"/>
  <c r="AL236" i="3"/>
  <c r="O238" i="3"/>
  <c r="O245" i="3"/>
  <c r="AL247" i="3"/>
  <c r="AM265" i="3"/>
  <c r="AM267" i="3"/>
  <c r="Y269" i="3"/>
  <c r="F269" i="3"/>
  <c r="X462" i="3"/>
  <c r="F463" i="3"/>
  <c r="S16" i="3"/>
  <c r="AK16" i="3" s="1"/>
  <c r="F17" i="3"/>
  <c r="S24" i="3"/>
  <c r="AK24" i="3" s="1"/>
  <c r="O25" i="3"/>
  <c r="AD25" i="3" s="1"/>
  <c r="J59" i="3"/>
  <c r="J416" i="3" s="1"/>
  <c r="S38" i="3"/>
  <c r="AK38" i="3" s="1"/>
  <c r="S40" i="3"/>
  <c r="AK40" i="3" s="1"/>
  <c r="O44" i="3"/>
  <c r="AD44" i="3" s="1"/>
  <c r="S53" i="3"/>
  <c r="S55" i="3"/>
  <c r="S56" i="3"/>
  <c r="AA425" i="3"/>
  <c r="F426" i="3"/>
  <c r="L89" i="3"/>
  <c r="L420" i="3" s="1"/>
  <c r="S72" i="3"/>
  <c r="Y75" i="3"/>
  <c r="S85" i="3"/>
  <c r="O87" i="3"/>
  <c r="AD87" i="3" s="1"/>
  <c r="I406" i="3"/>
  <c r="Y99" i="3"/>
  <c r="F99" i="3"/>
  <c r="S115" i="3"/>
  <c r="S118" i="3"/>
  <c r="O119" i="3"/>
  <c r="AD119" i="3" s="1"/>
  <c r="S121" i="3"/>
  <c r="S125" i="3"/>
  <c r="AK125" i="3" s="1"/>
  <c r="O126" i="3"/>
  <c r="S154" i="3"/>
  <c r="S157" i="3"/>
  <c r="F170" i="3"/>
  <c r="AM210" i="3"/>
  <c r="AL211" i="3"/>
  <c r="S212" i="3"/>
  <c r="O213" i="3"/>
  <c r="AD213" i="3" s="1"/>
  <c r="Y214" i="3"/>
  <c r="F214" i="3"/>
  <c r="AL217" i="3"/>
  <c r="Y217" i="3"/>
  <c r="AL218" i="3"/>
  <c r="AM219" i="3"/>
  <c r="AL221" i="3"/>
  <c r="AM226" i="3"/>
  <c r="AM242" i="3"/>
  <c r="S244" i="3"/>
  <c r="AL263" i="3"/>
  <c r="O269" i="3"/>
  <c r="AD269" i="3" s="1"/>
  <c r="O386" i="3"/>
  <c r="AD386" i="3" s="1"/>
  <c r="M387" i="3"/>
  <c r="O387" i="3" s="1"/>
  <c r="Q387" i="3"/>
  <c r="S387" i="3" s="1"/>
  <c r="Y242" i="3"/>
  <c r="F242" i="3"/>
  <c r="S71" i="3"/>
  <c r="O66" i="3"/>
  <c r="J184" i="3"/>
  <c r="J191" i="3" s="1"/>
  <c r="J430" i="3" s="1"/>
  <c r="J435" i="3" s="1"/>
  <c r="J437" i="3" s="1"/>
  <c r="O104" i="3"/>
  <c r="AD104" i="3" s="1"/>
  <c r="M122" i="3"/>
  <c r="O122" i="3" s="1"/>
  <c r="Q122" i="3"/>
  <c r="S122" i="3" s="1"/>
  <c r="M149" i="3"/>
  <c r="O149" i="3" s="1"/>
  <c r="Q149" i="3"/>
  <c r="S149" i="3" s="1"/>
  <c r="O155" i="3"/>
  <c r="AD155" i="3" s="1"/>
  <c r="O165" i="3"/>
  <c r="AD165" i="3" s="1"/>
  <c r="O171" i="3"/>
  <c r="AD171" i="3" s="1"/>
  <c r="G431" i="3"/>
  <c r="G436" i="3" s="1"/>
  <c r="K200" i="3"/>
  <c r="K431" i="3" s="1"/>
  <c r="K436" i="3" s="1"/>
  <c r="F200" i="3"/>
  <c r="F431" i="3" s="1"/>
  <c r="F436" i="3" s="1"/>
  <c r="I59" i="3"/>
  <c r="I416" i="3" s="1"/>
  <c r="Q17" i="3"/>
  <c r="S17" i="3" s="1"/>
  <c r="AK17" i="3" s="1"/>
  <c r="S20" i="3"/>
  <c r="AK20" i="3" s="1"/>
  <c r="O24" i="3"/>
  <c r="AD24" i="3" s="1"/>
  <c r="O34" i="3"/>
  <c r="AD34" i="3" s="1"/>
  <c r="S49" i="3"/>
  <c r="O52" i="3"/>
  <c r="AD52" i="3" s="1"/>
  <c r="O53" i="3"/>
  <c r="AD53" i="3" s="1"/>
  <c r="O54" i="3"/>
  <c r="AD54" i="3" s="1"/>
  <c r="AB425" i="3"/>
  <c r="S68" i="3"/>
  <c r="AK68" i="3" s="1"/>
  <c r="T89" i="3"/>
  <c r="T420" i="3" s="1"/>
  <c r="O77" i="3"/>
  <c r="O85" i="3"/>
  <c r="AD85" i="3" s="1"/>
  <c r="I184" i="3"/>
  <c r="Q99" i="3"/>
  <c r="S99" i="3" s="1"/>
  <c r="S107" i="3"/>
  <c r="S112" i="3"/>
  <c r="O116" i="3"/>
  <c r="AD116" i="3" s="1"/>
  <c r="Y118" i="3"/>
  <c r="F118" i="3"/>
  <c r="O123" i="3"/>
  <c r="Y125" i="3"/>
  <c r="F125" i="3"/>
  <c r="S130" i="3"/>
  <c r="O131" i="3"/>
  <c r="AD131" i="3" s="1"/>
  <c r="S134" i="3"/>
  <c r="S139" i="3"/>
  <c r="S142" i="3"/>
  <c r="O154" i="3"/>
  <c r="AD154" i="3" s="1"/>
  <c r="Y157" i="3"/>
  <c r="F157" i="3"/>
  <c r="S159" i="3"/>
  <c r="S163" i="3"/>
  <c r="S173" i="3"/>
  <c r="O174" i="3"/>
  <c r="S179" i="3"/>
  <c r="O180" i="3"/>
  <c r="AD180" i="3" s="1"/>
  <c r="W190" i="3"/>
  <c r="N286" i="3"/>
  <c r="N438" i="3" s="1"/>
  <c r="N444" i="3" s="1"/>
  <c r="N446" i="3" s="1"/>
  <c r="O207" i="3"/>
  <c r="AD207" i="3" s="1"/>
  <c r="O212" i="3"/>
  <c r="AD212" i="3" s="1"/>
  <c r="S242" i="3"/>
  <c r="O244" i="3"/>
  <c r="AD244" i="3" s="1"/>
  <c r="Y250" i="3"/>
  <c r="F250" i="3"/>
  <c r="N341" i="3"/>
  <c r="N447" i="3" s="1"/>
  <c r="N451" i="3" s="1"/>
  <c r="S298" i="3"/>
  <c r="O300" i="3"/>
  <c r="AD300" i="3" s="1"/>
  <c r="S302" i="3"/>
  <c r="O304" i="3"/>
  <c r="AD304" i="3" s="1"/>
  <c r="S366" i="3"/>
  <c r="O368" i="3"/>
  <c r="AD368" i="3" s="1"/>
  <c r="S370" i="3"/>
  <c r="O374" i="3"/>
  <c r="AD374" i="3" s="1"/>
  <c r="O376" i="3"/>
  <c r="AD376" i="3" s="1"/>
  <c r="O377" i="3"/>
  <c r="AD377" i="3" s="1"/>
  <c r="K400" i="3"/>
  <c r="K456" i="3" s="1"/>
  <c r="E89" i="3"/>
  <c r="E420" i="3" s="1"/>
  <c r="P89" i="3"/>
  <c r="P420" i="3" s="1"/>
  <c r="O74" i="3"/>
  <c r="S82" i="3"/>
  <c r="O100" i="3"/>
  <c r="S105" i="3"/>
  <c r="O106" i="3"/>
  <c r="AD106" i="3" s="1"/>
  <c r="S110" i="3"/>
  <c r="O111" i="3"/>
  <c r="AK111" i="3" s="1"/>
  <c r="S116" i="3"/>
  <c r="S119" i="3"/>
  <c r="S124" i="3"/>
  <c r="S128" i="3"/>
  <c r="S131" i="3"/>
  <c r="O132" i="3"/>
  <c r="AD132" i="3" s="1"/>
  <c r="S135" i="3"/>
  <c r="O137" i="3"/>
  <c r="AD137" i="3" s="1"/>
  <c r="O150" i="3"/>
  <c r="AD150" i="3" s="1"/>
  <c r="S155" i="3"/>
  <c r="AK155" i="3" s="1"/>
  <c r="Q156" i="3"/>
  <c r="S156" i="3" s="1"/>
  <c r="O160" i="3"/>
  <c r="AD160" i="3" s="1"/>
  <c r="S171" i="3"/>
  <c r="S172" i="3"/>
  <c r="O173" i="3"/>
  <c r="AD173" i="3" s="1"/>
  <c r="S177" i="3"/>
  <c r="S178" i="3"/>
  <c r="Q182" i="3"/>
  <c r="S182" i="3" s="1"/>
  <c r="AK182" i="3" s="1"/>
  <c r="AA191" i="3"/>
  <c r="AA430" i="3" s="1"/>
  <c r="AA435" i="3" s="1"/>
  <c r="AA437" i="3" s="1"/>
  <c r="P190" i="3"/>
  <c r="O205" i="3"/>
  <c r="AD205" i="3" s="1"/>
  <c r="S210" i="3"/>
  <c r="O211" i="3"/>
  <c r="O215" i="3"/>
  <c r="AD215" i="3" s="1"/>
  <c r="AL224" i="3"/>
  <c r="S234" i="3"/>
  <c r="S238" i="3"/>
  <c r="O243" i="3"/>
  <c r="AD243" i="3" s="1"/>
  <c r="S250" i="3"/>
  <c r="S251" i="3"/>
  <c r="O252" i="3"/>
  <c r="AD252" i="3" s="1"/>
  <c r="S257" i="3"/>
  <c r="O266" i="3"/>
  <c r="AD266" i="3" s="1"/>
  <c r="O268" i="3"/>
  <c r="AD268" i="3" s="1"/>
  <c r="O278" i="3"/>
  <c r="AD278" i="3" s="1"/>
  <c r="S281" i="3"/>
  <c r="S282" i="3"/>
  <c r="AK282" i="3" s="1"/>
  <c r="X446" i="3"/>
  <c r="Y297" i="3"/>
  <c r="F297" i="3"/>
  <c r="O318" i="3"/>
  <c r="O323" i="3"/>
  <c r="O329" i="3"/>
  <c r="AD329" i="3" s="1"/>
  <c r="Q348" i="3"/>
  <c r="S348" i="3" s="1"/>
  <c r="M348" i="3"/>
  <c r="O348" i="3" s="1"/>
  <c r="O360" i="3"/>
  <c r="AD360" i="3" s="1"/>
  <c r="V457" i="3"/>
  <c r="V459" i="3" s="1"/>
  <c r="O399" i="3"/>
  <c r="Q463" i="3"/>
  <c r="O177" i="3"/>
  <c r="AD177" i="3" s="1"/>
  <c r="O186" i="3"/>
  <c r="R190" i="3"/>
  <c r="L286" i="3"/>
  <c r="L438" i="3" s="1"/>
  <c r="L444" i="3" s="1"/>
  <c r="L446" i="3" s="1"/>
  <c r="AL205" i="3"/>
  <c r="AM206" i="3"/>
  <c r="S208" i="3"/>
  <c r="O209" i="3"/>
  <c r="AD209" i="3" s="1"/>
  <c r="AM212" i="3"/>
  <c r="AM216" i="3"/>
  <c r="AM218" i="3"/>
  <c r="AM221" i="3"/>
  <c r="O225" i="3"/>
  <c r="AD225" i="3" s="1"/>
  <c r="S226" i="3"/>
  <c r="S227" i="3"/>
  <c r="O250" i="3"/>
  <c r="AD250" i="3" s="1"/>
  <c r="AL252" i="3"/>
  <c r="AM253" i="3"/>
  <c r="O256" i="3"/>
  <c r="AD256" i="3" s="1"/>
  <c r="O257" i="3"/>
  <c r="O258" i="3"/>
  <c r="AD258" i="3" s="1"/>
  <c r="O263" i="3"/>
  <c r="AD263" i="3" s="1"/>
  <c r="AM269" i="3"/>
  <c r="O271" i="3"/>
  <c r="AD271" i="3" s="1"/>
  <c r="O273" i="3"/>
  <c r="AD273" i="3" s="1"/>
  <c r="AM275" i="3"/>
  <c r="AL278" i="3"/>
  <c r="O281" i="3"/>
  <c r="AD281" i="3" s="1"/>
  <c r="AM283" i="3"/>
  <c r="J444" i="3"/>
  <c r="J446" i="3" s="1"/>
  <c r="L341" i="3"/>
  <c r="L447" i="3" s="1"/>
  <c r="L451" i="3" s="1"/>
  <c r="T451" i="3"/>
  <c r="S304" i="3"/>
  <c r="S309" i="3"/>
  <c r="Y311" i="3"/>
  <c r="F311" i="3"/>
  <c r="S334" i="3"/>
  <c r="O335" i="3"/>
  <c r="AD335" i="3" s="1"/>
  <c r="S354" i="3"/>
  <c r="S364" i="3"/>
  <c r="O365" i="3"/>
  <c r="AD365" i="3" s="1"/>
  <c r="S392" i="3"/>
  <c r="O394" i="3"/>
  <c r="S395" i="3"/>
  <c r="S441" i="3"/>
  <c r="S465" i="3" s="1"/>
  <c r="AC462" i="3"/>
  <c r="AI462" i="3"/>
  <c r="S54" i="3"/>
  <c r="O58" i="3"/>
  <c r="X425" i="3"/>
  <c r="X429" i="3" s="1"/>
  <c r="Q426" i="3"/>
  <c r="J89" i="3"/>
  <c r="J420" i="3" s="1"/>
  <c r="S66" i="3"/>
  <c r="S77" i="3"/>
  <c r="O81" i="3"/>
  <c r="AD81" i="3" s="1"/>
  <c r="S87" i="3"/>
  <c r="G406" i="3"/>
  <c r="S104" i="3"/>
  <c r="H184" i="3"/>
  <c r="H191" i="3" s="1"/>
  <c r="H430" i="3" s="1"/>
  <c r="H435" i="3" s="1"/>
  <c r="H437" i="3" s="1"/>
  <c r="O115" i="3"/>
  <c r="AD115" i="3" s="1"/>
  <c r="S120" i="3"/>
  <c r="O121" i="3"/>
  <c r="AD121" i="3" s="1"/>
  <c r="S123" i="3"/>
  <c r="S126" i="3"/>
  <c r="S127" i="3"/>
  <c r="S133" i="3"/>
  <c r="O139" i="3"/>
  <c r="AD139" i="3" s="1"/>
  <c r="S141" i="3"/>
  <c r="S144" i="3"/>
  <c r="S158" i="3"/>
  <c r="O162" i="3"/>
  <c r="S166" i="3"/>
  <c r="S167" i="3"/>
  <c r="S168" i="3"/>
  <c r="O170" i="3"/>
  <c r="AD170" i="3" s="1"/>
  <c r="M172" i="3"/>
  <c r="O172" i="3" s="1"/>
  <c r="S174" i="3"/>
  <c r="O176" i="3"/>
  <c r="S180" i="3"/>
  <c r="V191" i="3"/>
  <c r="V201" i="3" s="1"/>
  <c r="AE191" i="3"/>
  <c r="L190" i="3"/>
  <c r="F189" i="3"/>
  <c r="M286" i="3"/>
  <c r="M438" i="3" s="1"/>
  <c r="M444" i="3" s="1"/>
  <c r="S206" i="3"/>
  <c r="AK206" i="3" s="1"/>
  <c r="S207" i="3"/>
  <c r="O208" i="3"/>
  <c r="AD208" i="3" s="1"/>
  <c r="AM211" i="3"/>
  <c r="AM215" i="3"/>
  <c r="S218" i="3"/>
  <c r="S219" i="3"/>
  <c r="S221" i="3"/>
  <c r="O222" i="3"/>
  <c r="AK222" i="3" s="1"/>
  <c r="F227" i="3"/>
  <c r="AM228" i="3"/>
  <c r="AL230" i="3"/>
  <c r="AL232" i="3"/>
  <c r="AL234" i="3"/>
  <c r="S236" i="3"/>
  <c r="O237" i="3"/>
  <c r="AL238" i="3"/>
  <c r="AL241" i="3"/>
  <c r="AM243" i="3"/>
  <c r="O246" i="3"/>
  <c r="AD246" i="3" s="1"/>
  <c r="O249" i="3"/>
  <c r="AL251" i="3"/>
  <c r="S253" i="3"/>
  <c r="O254" i="3"/>
  <c r="AD254" i="3" s="1"/>
  <c r="O255" i="3"/>
  <c r="AD255" i="3" s="1"/>
  <c r="AL259" i="3"/>
  <c r="S260" i="3"/>
  <c r="O261" i="3"/>
  <c r="AD261" i="3" s="1"/>
  <c r="O262" i="3"/>
  <c r="O264" i="3"/>
  <c r="AL265" i="3"/>
  <c r="AM266" i="3"/>
  <c r="AL267" i="3"/>
  <c r="AM268" i="3"/>
  <c r="S269" i="3"/>
  <c r="S270" i="3"/>
  <c r="AL274" i="3"/>
  <c r="S275" i="3"/>
  <c r="O276" i="3"/>
  <c r="AK276" i="3" s="1"/>
  <c r="AL277" i="3"/>
  <c r="AM278" i="3"/>
  <c r="F280" i="3"/>
  <c r="AL282" i="3"/>
  <c r="S283" i="3"/>
  <c r="O284" i="3"/>
  <c r="AD284" i="3" s="1"/>
  <c r="AL285" i="3"/>
  <c r="O314" i="3"/>
  <c r="S319" i="3"/>
  <c r="O320" i="3"/>
  <c r="AD320" i="3" s="1"/>
  <c r="O326" i="3"/>
  <c r="S331" i="3"/>
  <c r="Y332" i="3"/>
  <c r="F332" i="3"/>
  <c r="Y364" i="3"/>
  <c r="F364" i="3"/>
  <c r="O383" i="3"/>
  <c r="AD383" i="3" s="1"/>
  <c r="Y392" i="3"/>
  <c r="F392" i="3"/>
  <c r="I444" i="3"/>
  <c r="I446" i="3" s="1"/>
  <c r="Z444" i="3"/>
  <c r="Z446" i="3" s="1"/>
  <c r="Q341" i="3"/>
  <c r="Q447" i="3" s="1"/>
  <c r="Q451" i="3" s="1"/>
  <c r="O298" i="3"/>
  <c r="AD298" i="3" s="1"/>
  <c r="S301" i="3"/>
  <c r="O307" i="3"/>
  <c r="AD307" i="3" s="1"/>
  <c r="S307" i="3"/>
  <c r="O319" i="3"/>
  <c r="AD319" i="3" s="1"/>
  <c r="O331" i="3"/>
  <c r="AD331" i="3" s="1"/>
  <c r="O334" i="3"/>
  <c r="AD334" i="3" s="1"/>
  <c r="S338" i="3"/>
  <c r="S339" i="3"/>
  <c r="O340" i="3"/>
  <c r="I451" i="3"/>
  <c r="AA451" i="3"/>
  <c r="AL342" i="3"/>
  <c r="E396" i="3"/>
  <c r="E452" i="3" s="1"/>
  <c r="E457" i="3" s="1"/>
  <c r="E459" i="3" s="1"/>
  <c r="O355" i="3"/>
  <c r="AD355" i="3" s="1"/>
  <c r="S355" i="3"/>
  <c r="O356" i="3"/>
  <c r="AD356" i="3" s="1"/>
  <c r="S362" i="3"/>
  <c r="S376" i="3"/>
  <c r="Z457" i="3"/>
  <c r="Z459" i="3" s="1"/>
  <c r="P400" i="3"/>
  <c r="P456" i="3" s="1"/>
  <c r="L426" i="3"/>
  <c r="L462" i="3" s="1"/>
  <c r="AG462" i="3"/>
  <c r="S305" i="3"/>
  <c r="O306" i="3"/>
  <c r="AD306" i="3" s="1"/>
  <c r="S306" i="3"/>
  <c r="S310" i="3"/>
  <c r="S311" i="3"/>
  <c r="O312" i="3"/>
  <c r="AD312" i="3" s="1"/>
  <c r="S315" i="3"/>
  <c r="S317" i="3"/>
  <c r="S318" i="3"/>
  <c r="S322" i="3"/>
  <c r="S323" i="3"/>
  <c r="O324" i="3"/>
  <c r="AD324" i="3" s="1"/>
  <c r="S329" i="3"/>
  <c r="O330" i="3"/>
  <c r="AD330" i="3" s="1"/>
  <c r="S332" i="3"/>
  <c r="AK332" i="3" s="1"/>
  <c r="O339" i="3"/>
  <c r="AD339" i="3" s="1"/>
  <c r="I396" i="3"/>
  <c r="I402" i="3" s="1"/>
  <c r="S353" i="3"/>
  <c r="O361" i="3"/>
  <c r="AD361" i="3" s="1"/>
  <c r="O362" i="3"/>
  <c r="S374" i="3"/>
  <c r="S379" i="3"/>
  <c r="O384" i="3"/>
  <c r="H396" i="3"/>
  <c r="H402" i="3" s="1"/>
  <c r="T462" i="3"/>
  <c r="Z462" i="3"/>
  <c r="AM236" i="3"/>
  <c r="S237" i="3"/>
  <c r="O240" i="3"/>
  <c r="AD240" i="3" s="1"/>
  <c r="AL243" i="3"/>
  <c r="S246" i="3"/>
  <c r="O247" i="3"/>
  <c r="AD247" i="3" s="1"/>
  <c r="O251" i="3"/>
  <c r="AD251" i="3" s="1"/>
  <c r="AL253" i="3"/>
  <c r="S254" i="3"/>
  <c r="S255" i="3"/>
  <c r="AM257" i="3"/>
  <c r="S259" i="3"/>
  <c r="O260" i="3"/>
  <c r="AK260" i="3" s="1"/>
  <c r="AL261" i="3"/>
  <c r="AL262" i="3"/>
  <c r="AM263" i="3"/>
  <c r="AL264" i="3"/>
  <c r="S265" i="3"/>
  <c r="S266" i="3"/>
  <c r="S267" i="3"/>
  <c r="S268" i="3"/>
  <c r="O270" i="3"/>
  <c r="AD270" i="3" s="1"/>
  <c r="AL271" i="3"/>
  <c r="AM272" i="3"/>
  <c r="AL273" i="3"/>
  <c r="AM274" i="3"/>
  <c r="AM277" i="3"/>
  <c r="O279" i="3"/>
  <c r="AD279" i="3" s="1"/>
  <c r="O280" i="3"/>
  <c r="AD280" i="3" s="1"/>
  <c r="AL281" i="3"/>
  <c r="AM282" i="3"/>
  <c r="AM285" i="3"/>
  <c r="U444" i="3"/>
  <c r="U446" i="3" s="1"/>
  <c r="M341" i="3"/>
  <c r="M447" i="3" s="1"/>
  <c r="M451" i="3" s="1"/>
  <c r="W341" i="3"/>
  <c r="W447" i="3" s="1"/>
  <c r="W451" i="3" s="1"/>
  <c r="S299" i="3"/>
  <c r="S300" i="3"/>
  <c r="S303" i="3"/>
  <c r="O305" i="3"/>
  <c r="AD305" i="3" s="1"/>
  <c r="S308" i="3"/>
  <c r="O310" i="3"/>
  <c r="AD310" i="3" s="1"/>
  <c r="S313" i="3"/>
  <c r="O315" i="3"/>
  <c r="AD315" i="3" s="1"/>
  <c r="O317" i="3"/>
  <c r="AD317" i="3" s="1"/>
  <c r="S320" i="3"/>
  <c r="S321" i="3"/>
  <c r="O322" i="3"/>
  <c r="S326" i="3"/>
  <c r="AK326" i="3" s="1"/>
  <c r="S327" i="3"/>
  <c r="O328" i="3"/>
  <c r="AD328" i="3" s="1"/>
  <c r="O337" i="3"/>
  <c r="AD337" i="3" s="1"/>
  <c r="S347" i="3"/>
  <c r="S352" i="3"/>
  <c r="Y355" i="3"/>
  <c r="O359" i="3"/>
  <c r="AD359" i="3" s="1"/>
  <c r="S365" i="3"/>
  <c r="S367" i="3"/>
  <c r="S371" i="3"/>
  <c r="S372" i="3"/>
  <c r="S381" i="3"/>
  <c r="L385" i="3"/>
  <c r="S386" i="3"/>
  <c r="L400" i="3"/>
  <c r="L456" i="3" s="1"/>
  <c r="AB400" i="3"/>
  <c r="AB456" i="3" s="1"/>
  <c r="AB457" i="3" s="1"/>
  <c r="AD462" i="3"/>
  <c r="AJ462" i="3"/>
  <c r="S41" i="3"/>
  <c r="AK41" i="3" s="1"/>
  <c r="S42" i="3"/>
  <c r="S43" i="3"/>
  <c r="AF404" i="3"/>
  <c r="AF416" i="3"/>
  <c r="H416" i="3"/>
  <c r="H425" i="3" s="1"/>
  <c r="AD76" i="3"/>
  <c r="AD83" i="3"/>
  <c r="AD84" i="3"/>
  <c r="X430" i="3"/>
  <c r="X435" i="3" s="1"/>
  <c r="X437" i="3" s="1"/>
  <c r="AD211" i="3"/>
  <c r="O15" i="3"/>
  <c r="S15" i="3"/>
  <c r="F16" i="3"/>
  <c r="F19" i="3"/>
  <c r="F25" i="3"/>
  <c r="F26" i="3"/>
  <c r="L26" i="3"/>
  <c r="N26" i="3"/>
  <c r="P26" i="3"/>
  <c r="R26" i="3"/>
  <c r="R59" i="3" s="1"/>
  <c r="F28" i="3"/>
  <c r="Y28" i="3"/>
  <c r="M37" i="3"/>
  <c r="O37" i="3" s="1"/>
  <c r="AD37" i="3" s="1"/>
  <c r="F41" i="3"/>
  <c r="N41" i="3"/>
  <c r="F42" i="3"/>
  <c r="M42" i="3"/>
  <c r="O42" i="3" s="1"/>
  <c r="M43" i="3"/>
  <c r="O43" i="3" s="1"/>
  <c r="F45" i="3"/>
  <c r="M48" i="3"/>
  <c r="O48" i="3" s="1"/>
  <c r="S57" i="3"/>
  <c r="S64" i="3"/>
  <c r="S79" i="3"/>
  <c r="S102" i="3"/>
  <c r="S114" i="3"/>
  <c r="S117" i="3"/>
  <c r="S145" i="3"/>
  <c r="S164" i="3"/>
  <c r="AH404" i="3"/>
  <c r="AH416" i="3"/>
  <c r="AD82" i="3"/>
  <c r="AD126" i="3"/>
  <c r="AD182" i="3"/>
  <c r="V430" i="3"/>
  <c r="V435" i="3" s="1"/>
  <c r="V437" i="3" s="1"/>
  <c r="Z201" i="3"/>
  <c r="AD217" i="3"/>
  <c r="G16" i="3"/>
  <c r="Y16" i="3"/>
  <c r="G26" i="3"/>
  <c r="K26" i="3" s="1"/>
  <c r="M26" i="3"/>
  <c r="M41" i="3"/>
  <c r="S65" i="3"/>
  <c r="S70" i="3"/>
  <c r="S109" i="3"/>
  <c r="S148" i="3"/>
  <c r="S181" i="3"/>
  <c r="S189" i="3"/>
  <c r="U429" i="3"/>
  <c r="AC416" i="3"/>
  <c r="AC404" i="3"/>
  <c r="AE416" i="3"/>
  <c r="AE404" i="3"/>
  <c r="AG416" i="3"/>
  <c r="AG404" i="3"/>
  <c r="AI416" i="3"/>
  <c r="AI404" i="3"/>
  <c r="E286" i="3"/>
  <c r="F205" i="3"/>
  <c r="AD274" i="3"/>
  <c r="AD323" i="3"/>
  <c r="AK372" i="3"/>
  <c r="M49" i="3"/>
  <c r="M51" i="3"/>
  <c r="O51" i="3" s="1"/>
  <c r="F53" i="3"/>
  <c r="M56" i="3"/>
  <c r="O56" i="3" s="1"/>
  <c r="F57" i="3"/>
  <c r="M57" i="3"/>
  <c r="O57" i="3" s="1"/>
  <c r="AB60" i="3"/>
  <c r="M63" i="3"/>
  <c r="Q63" i="3"/>
  <c r="K64" i="3"/>
  <c r="M64" i="3"/>
  <c r="F65" i="3"/>
  <c r="M65" i="3"/>
  <c r="O65" i="3" s="1"/>
  <c r="F68" i="3"/>
  <c r="F70" i="3"/>
  <c r="M70" i="3"/>
  <c r="O70" i="3" s="1"/>
  <c r="M72" i="3"/>
  <c r="O72" i="3" s="1"/>
  <c r="N79" i="3"/>
  <c r="M80" i="3"/>
  <c r="O80" i="3" s="1"/>
  <c r="F82" i="3"/>
  <c r="M86" i="3"/>
  <c r="O86" i="3" s="1"/>
  <c r="U94" i="3"/>
  <c r="AA94" i="3"/>
  <c r="M95" i="3"/>
  <c r="P95" i="3"/>
  <c r="P406" i="3" s="1"/>
  <c r="R95" i="3"/>
  <c r="R406" i="3" s="1"/>
  <c r="O99" i="3"/>
  <c r="G101" i="3"/>
  <c r="N101" i="3"/>
  <c r="R101" i="3"/>
  <c r="R184" i="3" s="1"/>
  <c r="G102" i="3"/>
  <c r="K102" i="3" s="1"/>
  <c r="M107" i="3"/>
  <c r="O107" i="3" s="1"/>
  <c r="G108" i="3"/>
  <c r="K108" i="3" s="1"/>
  <c r="O108" i="3" s="1"/>
  <c r="F109" i="3"/>
  <c r="M109" i="3"/>
  <c r="O109" i="3" s="1"/>
  <c r="F112" i="3"/>
  <c r="G114" i="3"/>
  <c r="K114" i="3" s="1"/>
  <c r="M114" i="3"/>
  <c r="F116" i="3"/>
  <c r="Y116" i="3"/>
  <c r="M117" i="3"/>
  <c r="G118" i="3"/>
  <c r="K118" i="3" s="1"/>
  <c r="O118" i="3" s="1"/>
  <c r="F121" i="3"/>
  <c r="F124" i="3"/>
  <c r="G130" i="3"/>
  <c r="K130" i="3" s="1"/>
  <c r="O130" i="3" s="1"/>
  <c r="G134" i="3"/>
  <c r="K134" i="3" s="1"/>
  <c r="O134" i="3" s="1"/>
  <c r="L135" i="3"/>
  <c r="O135" i="3" s="1"/>
  <c r="F140" i="3"/>
  <c r="G143" i="3"/>
  <c r="K143" i="3" s="1"/>
  <c r="O143" i="3" s="1"/>
  <c r="F144" i="3"/>
  <c r="M145" i="3"/>
  <c r="F146" i="3"/>
  <c r="Y146" i="3"/>
  <c r="F147" i="3"/>
  <c r="F148" i="3"/>
  <c r="M148" i="3"/>
  <c r="O148" i="3" s="1"/>
  <c r="F150" i="3"/>
  <c r="F151" i="3"/>
  <c r="M151" i="3"/>
  <c r="L152" i="3"/>
  <c r="G157" i="3"/>
  <c r="K157" i="3" s="1"/>
  <c r="O157" i="3" s="1"/>
  <c r="F158" i="3"/>
  <c r="G159" i="3"/>
  <c r="K159" i="3" s="1"/>
  <c r="M159" i="3"/>
  <c r="F160" i="3"/>
  <c r="Y160" i="3"/>
  <c r="F161" i="3"/>
  <c r="Y161" i="3"/>
  <c r="F162" i="3"/>
  <c r="G163" i="3"/>
  <c r="K163" i="3" s="1"/>
  <c r="O163" i="3" s="1"/>
  <c r="N164" i="3"/>
  <c r="O164" i="3" s="1"/>
  <c r="F165" i="3"/>
  <c r="F166" i="3"/>
  <c r="Y166" i="3"/>
  <c r="F167" i="3"/>
  <c r="Y167" i="3"/>
  <c r="N168" i="3"/>
  <c r="O168" i="3" s="1"/>
  <c r="M175" i="3"/>
  <c r="O175" i="3" s="1"/>
  <c r="F176" i="3"/>
  <c r="Y176" i="3"/>
  <c r="G179" i="3"/>
  <c r="K179" i="3" s="1"/>
  <c r="O179" i="3" s="1"/>
  <c r="M181" i="3"/>
  <c r="E184" i="3"/>
  <c r="F186" i="3"/>
  <c r="Y186" i="3"/>
  <c r="Y190" i="3" s="1"/>
  <c r="G189" i="3"/>
  <c r="K189" i="3" s="1"/>
  <c r="K190" i="3" s="1"/>
  <c r="M189" i="3"/>
  <c r="I190" i="3"/>
  <c r="AJ191" i="3"/>
  <c r="AB199" i="3"/>
  <c r="O204" i="3"/>
  <c r="S204" i="3"/>
  <c r="S350" i="3"/>
  <c r="S375" i="3"/>
  <c r="W438" i="3"/>
  <c r="W444" i="3" s="1"/>
  <c r="W446" i="3" s="1"/>
  <c r="W294" i="3"/>
  <c r="AB438" i="3"/>
  <c r="AB444" i="3" s="1"/>
  <c r="AD322" i="3"/>
  <c r="AD326" i="3"/>
  <c r="O60" i="3"/>
  <c r="O417" i="3" s="1"/>
  <c r="O426" i="3" s="1"/>
  <c r="S60" i="3"/>
  <c r="N63" i="3"/>
  <c r="R63" i="3"/>
  <c r="R89" i="3" s="1"/>
  <c r="R420" i="3" s="1"/>
  <c r="M79" i="3"/>
  <c r="AB93" i="3"/>
  <c r="AB421" i="3" s="1"/>
  <c r="V94" i="3"/>
  <c r="X94" i="3"/>
  <c r="Z94" i="3"/>
  <c r="AB94" i="3"/>
  <c r="F95" i="3"/>
  <c r="N95" i="3"/>
  <c r="N406" i="3" s="1"/>
  <c r="Q95" i="3"/>
  <c r="F100" i="3"/>
  <c r="F101" i="3"/>
  <c r="M101" i="3"/>
  <c r="F102" i="3"/>
  <c r="N102" i="3"/>
  <c r="F106" i="3"/>
  <c r="G112" i="3"/>
  <c r="K112" i="3" s="1"/>
  <c r="O112" i="3" s="1"/>
  <c r="L113" i="3"/>
  <c r="O113" i="3" s="1"/>
  <c r="P113" i="3"/>
  <c r="S113" i="3" s="1"/>
  <c r="N117" i="3"/>
  <c r="G124" i="3"/>
  <c r="K124" i="3" s="1"/>
  <c r="O124" i="3" s="1"/>
  <c r="L136" i="3"/>
  <c r="O136" i="3" s="1"/>
  <c r="G140" i="3"/>
  <c r="K140" i="3" s="1"/>
  <c r="O140" i="3" s="1"/>
  <c r="G151" i="3"/>
  <c r="K151" i="3" s="1"/>
  <c r="G158" i="3"/>
  <c r="K158" i="3" s="1"/>
  <c r="O158" i="3" s="1"/>
  <c r="N181" i="3"/>
  <c r="S200" i="3"/>
  <c r="S431" i="3" s="1"/>
  <c r="S436" i="3" s="1"/>
  <c r="AL204" i="3"/>
  <c r="Y205" i="3"/>
  <c r="O214" i="3"/>
  <c r="O218" i="3"/>
  <c r="S349" i="3"/>
  <c r="S373" i="3"/>
  <c r="T452" i="3"/>
  <c r="T457" i="3" s="1"/>
  <c r="T459" i="3" s="1"/>
  <c r="T402" i="3"/>
  <c r="J452" i="3"/>
  <c r="J457" i="3" s="1"/>
  <c r="J459" i="3" s="1"/>
  <c r="J402" i="3"/>
  <c r="AM204" i="3"/>
  <c r="Q223" i="3"/>
  <c r="Q225" i="3"/>
  <c r="Q229" i="3"/>
  <c r="Q231" i="3"/>
  <c r="Q233" i="3"/>
  <c r="AL233" i="3" s="1"/>
  <c r="R235" i="3"/>
  <c r="AM235" i="3" s="1"/>
  <c r="Q239" i="3"/>
  <c r="Y240" i="3"/>
  <c r="Y244" i="3"/>
  <c r="R245" i="3"/>
  <c r="AM245" i="3" s="1"/>
  <c r="Y247" i="3"/>
  <c r="R248" i="3"/>
  <c r="AM248" i="3" s="1"/>
  <c r="Y252" i="3"/>
  <c r="Y256" i="3"/>
  <c r="Y258" i="3"/>
  <c r="F268" i="3"/>
  <c r="F273" i="3"/>
  <c r="Y278" i="3"/>
  <c r="Y282" i="3"/>
  <c r="F293" i="3"/>
  <c r="M293" i="3"/>
  <c r="M439" i="3" s="1"/>
  <c r="M445" i="3" s="1"/>
  <c r="H294" i="3"/>
  <c r="J294" i="3"/>
  <c r="T294" i="3"/>
  <c r="V294" i="3"/>
  <c r="X294" i="3"/>
  <c r="Z294" i="3"/>
  <c r="O297" i="3"/>
  <c r="S297" i="3"/>
  <c r="F299" i="3"/>
  <c r="G301" i="3"/>
  <c r="K301" i="3" s="1"/>
  <c r="O301" i="3" s="1"/>
  <c r="G302" i="3"/>
  <c r="K302" i="3" s="1"/>
  <c r="O302" i="3" s="1"/>
  <c r="Y302" i="3"/>
  <c r="F305" i="3"/>
  <c r="Y305" i="3"/>
  <c r="Y306" i="3"/>
  <c r="Y307" i="3"/>
  <c r="G309" i="3"/>
  <c r="K309" i="3" s="1"/>
  <c r="O309" i="3" s="1"/>
  <c r="Y309" i="3"/>
  <c r="G311" i="3"/>
  <c r="K311" i="3" s="1"/>
  <c r="O311" i="3" s="1"/>
  <c r="G325" i="3"/>
  <c r="K325" i="3" s="1"/>
  <c r="O325" i="3" s="1"/>
  <c r="Y325" i="3"/>
  <c r="G333" i="3"/>
  <c r="K333" i="3" s="1"/>
  <c r="O333" i="3" s="1"/>
  <c r="E341" i="3"/>
  <c r="E447" i="3" s="1"/>
  <c r="E451" i="3" s="1"/>
  <c r="O343" i="3"/>
  <c r="O448" i="3" s="1"/>
  <c r="S343" i="3"/>
  <c r="S448" i="3" s="1"/>
  <c r="Y346" i="3"/>
  <c r="Y350" i="3"/>
  <c r="N351" i="3"/>
  <c r="O351" i="3" s="1"/>
  <c r="R351" i="3"/>
  <c r="S351" i="3" s="1"/>
  <c r="G353" i="3"/>
  <c r="K353" i="3" s="1"/>
  <c r="O353" i="3" s="1"/>
  <c r="G354" i="3"/>
  <c r="K354" i="3" s="1"/>
  <c r="O354" i="3" s="1"/>
  <c r="Y354" i="3"/>
  <c r="G363" i="3"/>
  <c r="K363" i="3" s="1"/>
  <c r="O363" i="3" s="1"/>
  <c r="Y363" i="3"/>
  <c r="G366" i="3"/>
  <c r="K366" i="3" s="1"/>
  <c r="O366" i="3" s="1"/>
  <c r="Y366" i="3"/>
  <c r="G370" i="3"/>
  <c r="K370" i="3" s="1"/>
  <c r="O370" i="3" s="1"/>
  <c r="Y370" i="3"/>
  <c r="Y375" i="3"/>
  <c r="S389" i="3"/>
  <c r="S391" i="3"/>
  <c r="S393" i="3"/>
  <c r="W452" i="3"/>
  <c r="W457" i="3" s="1"/>
  <c r="W459" i="3" s="1"/>
  <c r="W402" i="3"/>
  <c r="Q378" i="3"/>
  <c r="S378" i="3" s="1"/>
  <c r="M378" i="3"/>
  <c r="O378" i="3" s="1"/>
  <c r="R225" i="3"/>
  <c r="AM225" i="3" s="1"/>
  <c r="R231" i="3"/>
  <c r="AM231" i="3" s="1"/>
  <c r="R233" i="3"/>
  <c r="AM233" i="3" s="1"/>
  <c r="Q235" i="3"/>
  <c r="AL235" i="3" s="1"/>
  <c r="R239" i="3"/>
  <c r="AM239" i="3" s="1"/>
  <c r="Q248" i="3"/>
  <c r="AL248" i="3" s="1"/>
  <c r="Q293" i="3"/>
  <c r="Q439" i="3" s="1"/>
  <c r="Q445" i="3" s="1"/>
  <c r="G294" i="3"/>
  <c r="I294" i="3"/>
  <c r="U294" i="3"/>
  <c r="AA294" i="3"/>
  <c r="G299" i="3"/>
  <c r="F301" i="3"/>
  <c r="G316" i="3"/>
  <c r="K316" i="3" s="1"/>
  <c r="O316" i="3" s="1"/>
  <c r="F328" i="3"/>
  <c r="F333" i="3"/>
  <c r="F334" i="3"/>
  <c r="F346" i="3"/>
  <c r="M346" i="3"/>
  <c r="Q346" i="3"/>
  <c r="K347" i="3"/>
  <c r="M347" i="3"/>
  <c r="M349" i="3"/>
  <c r="O349" i="3" s="1"/>
  <c r="M350" i="3"/>
  <c r="O350" i="3" s="1"/>
  <c r="G352" i="3"/>
  <c r="K352" i="3" s="1"/>
  <c r="O352" i="3" s="1"/>
  <c r="F353" i="3"/>
  <c r="M358" i="3"/>
  <c r="O358" i="3" s="1"/>
  <c r="F359" i="3"/>
  <c r="F362" i="3"/>
  <c r="G364" i="3"/>
  <c r="K364" i="3" s="1"/>
  <c r="O364" i="3" s="1"/>
  <c r="M369" i="3"/>
  <c r="O369" i="3" s="1"/>
  <c r="M373" i="3"/>
  <c r="O373" i="3" s="1"/>
  <c r="F374" i="3"/>
  <c r="M375" i="3"/>
  <c r="O375" i="3" s="1"/>
  <c r="S385" i="3"/>
  <c r="V462" i="3"/>
  <c r="F458" i="3"/>
  <c r="F453" i="3"/>
  <c r="N458" i="3"/>
  <c r="N453" i="3"/>
  <c r="Q453" i="3"/>
  <c r="Q458" i="3"/>
  <c r="Y393" i="3"/>
  <c r="S401" i="3"/>
  <c r="U402" i="3"/>
  <c r="AA402" i="3"/>
  <c r="AB427" i="3"/>
  <c r="AB463" i="3" s="1"/>
  <c r="AB428" i="3"/>
  <c r="AB464" i="3" s="1"/>
  <c r="M453" i="3"/>
  <c r="M458" i="3"/>
  <c r="O453" i="3"/>
  <c r="O458" i="3"/>
  <c r="R458" i="3"/>
  <c r="R453" i="3"/>
  <c r="N379" i="3"/>
  <c r="O379" i="3" s="1"/>
  <c r="M385" i="3"/>
  <c r="M389" i="3"/>
  <c r="O389" i="3" s="1"/>
  <c r="M391" i="3"/>
  <c r="O391" i="3" s="1"/>
  <c r="G392" i="3"/>
  <c r="K392" i="3" s="1"/>
  <c r="O392" i="3" s="1"/>
  <c r="M393" i="3"/>
  <c r="O393" i="3" s="1"/>
  <c r="L395" i="3"/>
  <c r="S398" i="3"/>
  <c r="AB401" i="3"/>
  <c r="V402" i="3"/>
  <c r="X402" i="3"/>
  <c r="Z402" i="3"/>
  <c r="U462" i="3"/>
  <c r="W462" i="3"/>
  <c r="Y462" i="3"/>
  <c r="AA462" i="3"/>
  <c r="AB441" i="3"/>
  <c r="AB465" i="3" s="1"/>
  <c r="P465" i="3"/>
  <c r="O441" i="3"/>
  <c r="O465" i="3" s="1"/>
  <c r="AK285" i="3" l="1"/>
  <c r="AK230" i="3"/>
  <c r="G89" i="3"/>
  <c r="G420" i="3" s="1"/>
  <c r="AD111" i="3"/>
  <c r="AK141" i="3"/>
  <c r="AK186" i="3"/>
  <c r="AK211" i="3"/>
  <c r="AK263" i="3"/>
  <c r="AK281" i="3"/>
  <c r="N462" i="3"/>
  <c r="AK161" i="3"/>
  <c r="AK232" i="3"/>
  <c r="AK216" i="3"/>
  <c r="AK128" i="3"/>
  <c r="O400" i="3"/>
  <c r="O456" i="3" s="1"/>
  <c r="U201" i="3"/>
  <c r="AK322" i="3"/>
  <c r="AK338" i="3"/>
  <c r="AK264" i="3"/>
  <c r="AK228" i="3"/>
  <c r="AK244" i="3"/>
  <c r="AK280" i="3"/>
  <c r="AK156" i="3"/>
  <c r="AK362" i="3"/>
  <c r="AK73" i="3"/>
  <c r="O200" i="3"/>
  <c r="AK361" i="3"/>
  <c r="AK242" i="3"/>
  <c r="AD156" i="3"/>
  <c r="AK321" i="3"/>
  <c r="AK255" i="3"/>
  <c r="AK176" i="3"/>
  <c r="AK115" i="3"/>
  <c r="AK100" i="3"/>
  <c r="AK336" i="3"/>
  <c r="AK146" i="3"/>
  <c r="AD362" i="3"/>
  <c r="AK246" i="3"/>
  <c r="O395" i="3"/>
  <c r="AD395" i="3" s="1"/>
  <c r="AK310" i="3"/>
  <c r="L294" i="3"/>
  <c r="AK272" i="3"/>
  <c r="AK209" i="3"/>
  <c r="AK268" i="3"/>
  <c r="AK314" i="3"/>
  <c r="AK253" i="3"/>
  <c r="AK75" i="3"/>
  <c r="AK380" i="3"/>
  <c r="AK76" i="3"/>
  <c r="AK303" i="3"/>
  <c r="AK267" i="3"/>
  <c r="S229" i="3"/>
  <c r="AK229" i="3" s="1"/>
  <c r="AK335" i="3"/>
  <c r="R462" i="3"/>
  <c r="AD232" i="3"/>
  <c r="AK52" i="3"/>
  <c r="AD186" i="3"/>
  <c r="AK300" i="3"/>
  <c r="AK266" i="3"/>
  <c r="AK374" i="3"/>
  <c r="AK331" i="3"/>
  <c r="AK236" i="3"/>
  <c r="AK110" i="3"/>
  <c r="J425" i="3"/>
  <c r="J429" i="3" s="1"/>
  <c r="AK45" i="3"/>
  <c r="AK388" i="3"/>
  <c r="AK357" i="3"/>
  <c r="H452" i="3"/>
  <c r="H457" i="3" s="1"/>
  <c r="H459" i="3" s="1"/>
  <c r="AK312" i="3"/>
  <c r="G190" i="3"/>
  <c r="AK254" i="3"/>
  <c r="AK384" i="3"/>
  <c r="AK171" i="3"/>
  <c r="AK356" i="3"/>
  <c r="AK74" i="3"/>
  <c r="I425" i="3"/>
  <c r="I429" i="3" s="1"/>
  <c r="AK271" i="3"/>
  <c r="AK327" i="3"/>
  <c r="AK249" i="3"/>
  <c r="AK324" i="3"/>
  <c r="AK265" i="3"/>
  <c r="AK259" i="3"/>
  <c r="AK383" i="3"/>
  <c r="AK188" i="3"/>
  <c r="F190" i="3"/>
  <c r="AD176" i="3"/>
  <c r="AK317" i="3"/>
  <c r="AK237" i="3"/>
  <c r="AK269" i="3"/>
  <c r="T425" i="3"/>
  <c r="V461" i="3"/>
  <c r="V467" i="3" s="1"/>
  <c r="AK121" i="3"/>
  <c r="AK82" i="3"/>
  <c r="AK88" i="3"/>
  <c r="AK367" i="3"/>
  <c r="AK221" i="3"/>
  <c r="AD382" i="3"/>
  <c r="AK382" i="3"/>
  <c r="AK131" i="3"/>
  <c r="AK323" i="3"/>
  <c r="AK394" i="3"/>
  <c r="AK334" i="3"/>
  <c r="AK208" i="3"/>
  <c r="AK123" i="3"/>
  <c r="AD384" i="3"/>
  <c r="AK337" i="3"/>
  <c r="AD222" i="3"/>
  <c r="E191" i="3"/>
  <c r="E201" i="3" s="1"/>
  <c r="AD276" i="3"/>
  <c r="AK262" i="3"/>
  <c r="AK162" i="3"/>
  <c r="AK127" i="3"/>
  <c r="AK283" i="3"/>
  <c r="O145" i="3"/>
  <c r="AK145" i="3" s="1"/>
  <c r="AK224" i="3"/>
  <c r="AK359" i="3"/>
  <c r="P294" i="3"/>
  <c r="V429" i="3"/>
  <c r="AK153" i="3"/>
  <c r="AD123" i="3"/>
  <c r="AK104" i="3"/>
  <c r="L59" i="3"/>
  <c r="L416" i="3" s="1"/>
  <c r="L425" i="3" s="1"/>
  <c r="AA201" i="3"/>
  <c r="AK252" i="3"/>
  <c r="AK160" i="3"/>
  <c r="AK129" i="3"/>
  <c r="AK381" i="3"/>
  <c r="AK376" i="3"/>
  <c r="O293" i="3"/>
  <c r="O439" i="3" s="1"/>
  <c r="O445" i="3" s="1"/>
  <c r="I452" i="3"/>
  <c r="I457" i="3" s="1"/>
  <c r="I459" i="3" s="1"/>
  <c r="AD357" i="3"/>
  <c r="AD264" i="3"/>
  <c r="O49" i="3"/>
  <c r="AK49" i="3" s="1"/>
  <c r="AK329" i="3"/>
  <c r="AK284" i="3"/>
  <c r="AD249" i="3"/>
  <c r="AK170" i="3"/>
  <c r="J201" i="3"/>
  <c r="AK177" i="3"/>
  <c r="AK132" i="3"/>
  <c r="AD74" i="3"/>
  <c r="AK308" i="3"/>
  <c r="AK180" i="3"/>
  <c r="AK120" i="3"/>
  <c r="AK243" i="3"/>
  <c r="AK106" i="3"/>
  <c r="K462" i="3"/>
  <c r="AK55" i="3"/>
  <c r="AD55" i="3"/>
  <c r="AK348" i="3"/>
  <c r="AD348" i="3"/>
  <c r="E94" i="3"/>
  <c r="E96" i="3" s="1"/>
  <c r="AK261" i="3"/>
  <c r="AD381" i="3"/>
  <c r="AD314" i="3"/>
  <c r="AD283" i="3"/>
  <c r="AK275" i="3"/>
  <c r="AD237" i="3"/>
  <c r="AK144" i="3"/>
  <c r="AK371" i="3"/>
  <c r="S400" i="3"/>
  <c r="S456" i="3" s="1"/>
  <c r="P457" i="3"/>
  <c r="P459" i="3" s="1"/>
  <c r="E402" i="3"/>
  <c r="O151" i="3"/>
  <c r="AK151" i="3" s="1"/>
  <c r="AK251" i="3"/>
  <c r="M190" i="3"/>
  <c r="AD336" i="3"/>
  <c r="AK304" i="3"/>
  <c r="AK205" i="3"/>
  <c r="T191" i="3"/>
  <c r="AD262" i="3"/>
  <c r="AK386" i="3"/>
  <c r="AK313" i="3"/>
  <c r="AD221" i="3"/>
  <c r="N294" i="3"/>
  <c r="AK377" i="3"/>
  <c r="AD367" i="3"/>
  <c r="AD277" i="3"/>
  <c r="O41" i="3"/>
  <c r="AD41" i="3" s="1"/>
  <c r="AK138" i="3"/>
  <c r="AK305" i="3"/>
  <c r="AK240" i="3"/>
  <c r="AK219" i="3"/>
  <c r="AK81" i="3"/>
  <c r="AK58" i="3"/>
  <c r="AK227" i="3"/>
  <c r="AK278" i="3"/>
  <c r="AK274" i="3"/>
  <c r="AK147" i="3"/>
  <c r="AD394" i="3"/>
  <c r="AK273" i="3"/>
  <c r="AK256" i="3"/>
  <c r="AK137" i="3"/>
  <c r="AK210" i="3"/>
  <c r="AK368" i="3"/>
  <c r="O181" i="3"/>
  <c r="AK181" i="3" s="1"/>
  <c r="N59" i="3"/>
  <c r="N416" i="3" s="1"/>
  <c r="AK339" i="3"/>
  <c r="AK365" i="3"/>
  <c r="AK250" i="3"/>
  <c r="AK207" i="3"/>
  <c r="AK173" i="3"/>
  <c r="AK77" i="3"/>
  <c r="AK126" i="3"/>
  <c r="AK85" i="3"/>
  <c r="AK53" i="3"/>
  <c r="J94" i="3"/>
  <c r="J96" i="3" s="1"/>
  <c r="AK183" i="3"/>
  <c r="AK165" i="3"/>
  <c r="AK71" i="3"/>
  <c r="AK44" i="3"/>
  <c r="T94" i="3"/>
  <c r="Y89" i="3"/>
  <c r="Y420" i="3" s="1"/>
  <c r="G462" i="3"/>
  <c r="AK330" i="3"/>
  <c r="AK279" i="3"/>
  <c r="AK328" i="3"/>
  <c r="AK360" i="3"/>
  <c r="AK142" i="3"/>
  <c r="AK105" i="3"/>
  <c r="AK215" i="3"/>
  <c r="AK213" i="3"/>
  <c r="AK47" i="3"/>
  <c r="AK247" i="3"/>
  <c r="AK69" i="3"/>
  <c r="AD69" i="3"/>
  <c r="AD166" i="3"/>
  <c r="AK166" i="3"/>
  <c r="AK355" i="3"/>
  <c r="H201" i="3"/>
  <c r="AK318" i="3"/>
  <c r="AK238" i="3"/>
  <c r="AD260" i="3"/>
  <c r="AK340" i="3"/>
  <c r="AK319" i="3"/>
  <c r="AK257" i="3"/>
  <c r="AK226" i="3"/>
  <c r="AK212" i="3"/>
  <c r="AK174" i="3"/>
  <c r="AK178" i="3"/>
  <c r="AK133" i="3"/>
  <c r="AK78" i="3"/>
  <c r="AK83" i="3"/>
  <c r="AK46" i="3"/>
  <c r="O385" i="3"/>
  <c r="AD385" i="3" s="1"/>
  <c r="S341" i="3"/>
  <c r="S447" i="3" s="1"/>
  <c r="S451" i="3" s="1"/>
  <c r="AK390" i="3"/>
  <c r="O79" i="3"/>
  <c r="AD79" i="3" s="1"/>
  <c r="Y59" i="3"/>
  <c r="Q59" i="3"/>
  <c r="Q416" i="3" s="1"/>
  <c r="E425" i="3"/>
  <c r="AK306" i="3"/>
  <c r="S187" i="3"/>
  <c r="AK150" i="3"/>
  <c r="AA461" i="3"/>
  <c r="AA468" i="3" s="1"/>
  <c r="AK54" i="3"/>
  <c r="AK66" i="3"/>
  <c r="P402" i="3"/>
  <c r="N89" i="3"/>
  <c r="N420" i="3" s="1"/>
  <c r="O114" i="3"/>
  <c r="AK114" i="3" s="1"/>
  <c r="AD318" i="3"/>
  <c r="AK167" i="3"/>
  <c r="AK270" i="3"/>
  <c r="X461" i="3"/>
  <c r="X467" i="3" s="1"/>
  <c r="AK116" i="3"/>
  <c r="AK172" i="3"/>
  <c r="AD172" i="3"/>
  <c r="AD149" i="3"/>
  <c r="AK149" i="3"/>
  <c r="AK122" i="3"/>
  <c r="AD122" i="3"/>
  <c r="AK50" i="3"/>
  <c r="AD50" i="3"/>
  <c r="AK169" i="3"/>
  <c r="AD169" i="3"/>
  <c r="AD103" i="3"/>
  <c r="AD431" i="3" s="1"/>
  <c r="AK103" i="3"/>
  <c r="AK431" i="3" s="1"/>
  <c r="AD387" i="3"/>
  <c r="AK387" i="3"/>
  <c r="Q462" i="3"/>
  <c r="S231" i="3"/>
  <c r="AK231" i="3" s="1"/>
  <c r="F184" i="3"/>
  <c r="AK315" i="3"/>
  <c r="O152" i="3"/>
  <c r="AK152" i="3" s="1"/>
  <c r="R191" i="3"/>
  <c r="R430" i="3" s="1"/>
  <c r="R435" i="3" s="1"/>
  <c r="R437" i="3" s="1"/>
  <c r="AK241" i="3"/>
  <c r="AA429" i="3"/>
  <c r="M59" i="3"/>
  <c r="M416" i="3" s="1"/>
  <c r="W191" i="3"/>
  <c r="Y341" i="3"/>
  <c r="Y447" i="3" s="1"/>
  <c r="Y451" i="3" s="1"/>
  <c r="M462" i="3"/>
  <c r="I191" i="3"/>
  <c r="I201" i="3" s="1"/>
  <c r="O117" i="3"/>
  <c r="AK117" i="3" s="1"/>
  <c r="N184" i="3"/>
  <c r="N191" i="3" s="1"/>
  <c r="N201" i="3" s="1"/>
  <c r="F89" i="3"/>
  <c r="F420" i="3" s="1"/>
  <c r="AD340" i="3"/>
  <c r="AK258" i="3"/>
  <c r="W94" i="3"/>
  <c r="AK119" i="3"/>
  <c r="AK67" i="3"/>
  <c r="I94" i="3"/>
  <c r="I96" i="3" s="1"/>
  <c r="F286" i="3"/>
  <c r="F438" i="3" s="1"/>
  <c r="F444" i="3" s="1"/>
  <c r="S225" i="3"/>
  <c r="AK225" i="3" s="1"/>
  <c r="AB200" i="3"/>
  <c r="AB431" i="3" s="1"/>
  <c r="AB436" i="3" s="1"/>
  <c r="Y184" i="3"/>
  <c r="Y191" i="3" s="1"/>
  <c r="Y430" i="3" s="1"/>
  <c r="Y435" i="3" s="1"/>
  <c r="Y437" i="3" s="1"/>
  <c r="K294" i="3"/>
  <c r="Q286" i="3"/>
  <c r="Q438" i="3" s="1"/>
  <c r="Q444" i="3" s="1"/>
  <c r="Q446" i="3" s="1"/>
  <c r="AD380" i="3"/>
  <c r="AK320" i="3"/>
  <c r="O159" i="3"/>
  <c r="AK159" i="3" s="1"/>
  <c r="O64" i="3"/>
  <c r="AD64" i="3" s="1"/>
  <c r="AK307" i="3"/>
  <c r="AK298" i="3"/>
  <c r="AD257" i="3"/>
  <c r="AD238" i="3"/>
  <c r="U461" i="3"/>
  <c r="U468" i="3" s="1"/>
  <c r="AD162" i="3"/>
  <c r="AK154" i="3"/>
  <c r="AK139" i="3"/>
  <c r="AK87" i="3"/>
  <c r="AD58" i="3"/>
  <c r="S26" i="3"/>
  <c r="AK26" i="3" s="1"/>
  <c r="AD183" i="3"/>
  <c r="AD174" i="3"/>
  <c r="AD133" i="3"/>
  <c r="AD100" i="3"/>
  <c r="AD77" i="3"/>
  <c r="AD66" i="3"/>
  <c r="K406" i="3"/>
  <c r="Q184" i="3"/>
  <c r="Q191" i="3" s="1"/>
  <c r="AB402" i="3"/>
  <c r="Q396" i="3"/>
  <c r="Q452" i="3" s="1"/>
  <c r="Q457" i="3" s="1"/>
  <c r="Q459" i="3" s="1"/>
  <c r="F341" i="3"/>
  <c r="F447" i="3" s="1"/>
  <c r="F451" i="3" s="1"/>
  <c r="M184" i="3"/>
  <c r="M191" i="3" s="1"/>
  <c r="M201" i="3" s="1"/>
  <c r="Z461" i="3"/>
  <c r="Z467" i="3" s="1"/>
  <c r="Q89" i="3"/>
  <c r="Q420" i="3" s="1"/>
  <c r="AD393" i="3"/>
  <c r="AK393" i="3"/>
  <c r="AD391" i="3"/>
  <c r="AK391" i="3"/>
  <c r="AK385" i="3"/>
  <c r="AD375" i="3"/>
  <c r="AK375" i="3"/>
  <c r="AK373" i="3"/>
  <c r="AD373" i="3"/>
  <c r="AD350" i="3"/>
  <c r="AK350" i="3"/>
  <c r="AK378" i="3"/>
  <c r="AD378" i="3"/>
  <c r="AD351" i="3"/>
  <c r="AK351" i="3"/>
  <c r="AK136" i="3"/>
  <c r="AD136" i="3"/>
  <c r="AK113" i="3"/>
  <c r="AD113" i="3"/>
  <c r="I430" i="3"/>
  <c r="I435" i="3" s="1"/>
  <c r="I437" i="3" s="1"/>
  <c r="AD168" i="3"/>
  <c r="AK168" i="3"/>
  <c r="AD164" i="3"/>
  <c r="AK164" i="3"/>
  <c r="AK135" i="3"/>
  <c r="AD135" i="3"/>
  <c r="AK109" i="3"/>
  <c r="AD109" i="3"/>
  <c r="AD70" i="3"/>
  <c r="AK70" i="3"/>
  <c r="AK57" i="3"/>
  <c r="AD57" i="3"/>
  <c r="AD56" i="3"/>
  <c r="AK56" i="3"/>
  <c r="AD51" i="3"/>
  <c r="AK51" i="3"/>
  <c r="AD42" i="3"/>
  <c r="AK42" i="3"/>
  <c r="AK395" i="3"/>
  <c r="AK389" i="3"/>
  <c r="AD389" i="3"/>
  <c r="AK379" i="3"/>
  <c r="AD379" i="3"/>
  <c r="AK369" i="3"/>
  <c r="AD369" i="3"/>
  <c r="AK358" i="3"/>
  <c r="AD358" i="3"/>
  <c r="AK349" i="3"/>
  <c r="AD349" i="3"/>
  <c r="AD175" i="3"/>
  <c r="AK175" i="3"/>
  <c r="AD148" i="3"/>
  <c r="AK148" i="3"/>
  <c r="Y201" i="3"/>
  <c r="AK107" i="3"/>
  <c r="AD107" i="3"/>
  <c r="AD86" i="3"/>
  <c r="AK86" i="3"/>
  <c r="AD80" i="3"/>
  <c r="AK80" i="3"/>
  <c r="AD72" i="3"/>
  <c r="AK72" i="3"/>
  <c r="AK65" i="3"/>
  <c r="AD65" i="3"/>
  <c r="AD48" i="3"/>
  <c r="AK48" i="3"/>
  <c r="AD43" i="3"/>
  <c r="AK43" i="3"/>
  <c r="AB458" i="3"/>
  <c r="AB459" i="3" s="1"/>
  <c r="AB453" i="3"/>
  <c r="S453" i="3"/>
  <c r="S458" i="3"/>
  <c r="AK364" i="3"/>
  <c r="AD364" i="3"/>
  <c r="AD370" i="3"/>
  <c r="AK370" i="3"/>
  <c r="AD366" i="3"/>
  <c r="AK366" i="3"/>
  <c r="AD363" i="3"/>
  <c r="AK363" i="3"/>
  <c r="AD354" i="3"/>
  <c r="AK354" i="3"/>
  <c r="AK333" i="3"/>
  <c r="AD333" i="3"/>
  <c r="AD325" i="3"/>
  <c r="AK325" i="3"/>
  <c r="AK301" i="3"/>
  <c r="AD301" i="3"/>
  <c r="F439" i="3"/>
  <c r="F445" i="3" s="1"/>
  <c r="F462" i="3" s="1"/>
  <c r="AB293" i="3"/>
  <c r="AD218" i="3"/>
  <c r="AK218" i="3"/>
  <c r="Z404" i="3"/>
  <c r="Z407" i="3" s="1"/>
  <c r="Z96" i="3"/>
  <c r="V404" i="3"/>
  <c r="V407" i="3" s="1"/>
  <c r="V96" i="3"/>
  <c r="O286" i="3"/>
  <c r="AK204" i="3"/>
  <c r="AD204" i="3"/>
  <c r="AB434" i="3"/>
  <c r="AB435" i="3" s="1"/>
  <c r="AM404" i="3"/>
  <c r="AM406" i="3" s="1"/>
  <c r="E430" i="3"/>
  <c r="E435" i="3" s="1"/>
  <c r="E437" i="3" s="1"/>
  <c r="AK179" i="3"/>
  <c r="AD179" i="3"/>
  <c r="AD157" i="3"/>
  <c r="AK157" i="3"/>
  <c r="AD143" i="3"/>
  <c r="AK143" i="3"/>
  <c r="AK130" i="3"/>
  <c r="AD130" i="3"/>
  <c r="AD108" i="3"/>
  <c r="AK108" i="3"/>
  <c r="U404" i="3"/>
  <c r="U407" i="3" s="1"/>
  <c r="U96" i="3"/>
  <c r="E438" i="3"/>
  <c r="E444" i="3" s="1"/>
  <c r="E446" i="3" s="1"/>
  <c r="E294" i="3"/>
  <c r="G59" i="3"/>
  <c r="K16" i="3"/>
  <c r="W429" i="3"/>
  <c r="H429" i="3"/>
  <c r="T429" i="3"/>
  <c r="E429" i="3"/>
  <c r="G396" i="3"/>
  <c r="M396" i="3"/>
  <c r="F396" i="3"/>
  <c r="R396" i="3"/>
  <c r="L396" i="3"/>
  <c r="S293" i="3"/>
  <c r="S439" i="3" s="1"/>
  <c r="S445" i="3" s="1"/>
  <c r="S245" i="3"/>
  <c r="Y286" i="3"/>
  <c r="R286" i="3"/>
  <c r="Q406" i="3"/>
  <c r="F406" i="3"/>
  <c r="S248" i="3"/>
  <c r="AK248" i="3" s="1"/>
  <c r="S235" i="3"/>
  <c r="AK234" i="3" s="1"/>
  <c r="AL231" i="3"/>
  <c r="AL229" i="3"/>
  <c r="AL225" i="3"/>
  <c r="AL223" i="3"/>
  <c r="O102" i="3"/>
  <c r="M406" i="3"/>
  <c r="M89" i="3"/>
  <c r="M420" i="3" s="1"/>
  <c r="M446" i="3"/>
  <c r="L184" i="3"/>
  <c r="L191" i="3" s="1"/>
  <c r="O26" i="3"/>
  <c r="AD26" i="3" s="1"/>
  <c r="P184" i="3"/>
  <c r="P191" i="3" s="1"/>
  <c r="K89" i="3"/>
  <c r="K420" i="3" s="1"/>
  <c r="F59" i="3"/>
  <c r="P59" i="3"/>
  <c r="AK392" i="3"/>
  <c r="AD392" i="3"/>
  <c r="AK352" i="3"/>
  <c r="AD352" i="3"/>
  <c r="AK316" i="3"/>
  <c r="AD316" i="3"/>
  <c r="G341" i="3"/>
  <c r="G447" i="3" s="1"/>
  <c r="G451" i="3" s="1"/>
  <c r="K299" i="3"/>
  <c r="AK353" i="3"/>
  <c r="AD353" i="3"/>
  <c r="AK311" i="3"/>
  <c r="AD311" i="3"/>
  <c r="AD309" i="3"/>
  <c r="AK309" i="3"/>
  <c r="AD302" i="3"/>
  <c r="AK302" i="3"/>
  <c r="AK297" i="3"/>
  <c r="AD297" i="3"/>
  <c r="AK214" i="3"/>
  <c r="AD214" i="3"/>
  <c r="O431" i="3"/>
  <c r="O436" i="3" s="1"/>
  <c r="O462" i="3" s="1"/>
  <c r="O406" i="3"/>
  <c r="AK158" i="3"/>
  <c r="AD158" i="3"/>
  <c r="AK140" i="3"/>
  <c r="AD140" i="3"/>
  <c r="AK124" i="3"/>
  <c r="AD124" i="3"/>
  <c r="AK112" i="3"/>
  <c r="AD112" i="3"/>
  <c r="AB404" i="3"/>
  <c r="X404" i="3"/>
  <c r="X407" i="3" s="1"/>
  <c r="X96" i="3"/>
  <c r="S417" i="3"/>
  <c r="S426" i="3" s="1"/>
  <c r="S95" i="3"/>
  <c r="V468" i="3"/>
  <c r="AK163" i="3"/>
  <c r="AD163" i="3"/>
  <c r="AD134" i="3"/>
  <c r="AK134" i="3"/>
  <c r="AD118" i="3"/>
  <c r="AK118" i="3"/>
  <c r="K101" i="3"/>
  <c r="G184" i="3"/>
  <c r="AK99" i="3"/>
  <c r="AD99" i="3"/>
  <c r="AA404" i="3"/>
  <c r="AA407" i="3" s="1"/>
  <c r="AA96" i="3"/>
  <c r="AB417" i="3"/>
  <c r="AB426" i="3" s="1"/>
  <c r="AB95" i="3"/>
  <c r="R416" i="3"/>
  <c r="R425" i="3" s="1"/>
  <c r="R94" i="3"/>
  <c r="AK15" i="3"/>
  <c r="AD15" i="3"/>
  <c r="H404" i="3"/>
  <c r="H407" i="3" s="1"/>
  <c r="H96" i="3"/>
  <c r="O347" i="3"/>
  <c r="S346" i="3"/>
  <c r="S396" i="3" s="1"/>
  <c r="O346" i="3"/>
  <c r="K396" i="3"/>
  <c r="Y396" i="3"/>
  <c r="N396" i="3"/>
  <c r="S239" i="3"/>
  <c r="AK239" i="3" s="1"/>
  <c r="S233" i="3"/>
  <c r="AK233" i="3" s="1"/>
  <c r="AL239" i="3"/>
  <c r="S223" i="3"/>
  <c r="AK223" i="3" s="1"/>
  <c r="O189" i="3"/>
  <c r="S63" i="3"/>
  <c r="S89" i="3" s="1"/>
  <c r="S420" i="3" s="1"/>
  <c r="O63" i="3"/>
  <c r="M294" i="3"/>
  <c r="S101" i="3"/>
  <c r="S184" i="3" s="1"/>
  <c r="N425" i="3" l="1"/>
  <c r="AK79" i="3"/>
  <c r="T404" i="3"/>
  <c r="T407" i="3" s="1"/>
  <c r="X468" i="3"/>
  <c r="J461" i="3"/>
  <c r="Y94" i="3"/>
  <c r="H461" i="3"/>
  <c r="L94" i="3"/>
  <c r="L404" i="3" s="1"/>
  <c r="L407" i="3" s="1"/>
  <c r="S59" i="3"/>
  <c r="S94" i="3" s="1"/>
  <c r="AD159" i="3"/>
  <c r="AD151" i="3"/>
  <c r="AD152" i="3"/>
  <c r="G191" i="3"/>
  <c r="G201" i="3" s="1"/>
  <c r="F191" i="3"/>
  <c r="C478" i="3"/>
  <c r="AD49" i="3"/>
  <c r="AD145" i="3"/>
  <c r="W404" i="3"/>
  <c r="W407" i="3" s="1"/>
  <c r="M430" i="3"/>
  <c r="M435" i="3" s="1"/>
  <c r="M437" i="3" s="1"/>
  <c r="I461" i="3"/>
  <c r="I467" i="3" s="1"/>
  <c r="H475" i="3" s="1"/>
  <c r="U467" i="3"/>
  <c r="W96" i="3"/>
  <c r="AD181" i="3"/>
  <c r="E404" i="3"/>
  <c r="E407" i="3" s="1"/>
  <c r="AB201" i="3"/>
  <c r="I404" i="3"/>
  <c r="I407" i="3" s="1"/>
  <c r="AA467" i="3"/>
  <c r="T201" i="3"/>
  <c r="T430" i="3"/>
  <c r="T435" i="3" s="1"/>
  <c r="AD114" i="3"/>
  <c r="J404" i="3"/>
  <c r="J407" i="3" s="1"/>
  <c r="Q402" i="3"/>
  <c r="F294" i="3"/>
  <c r="T96" i="3"/>
  <c r="Y416" i="3"/>
  <c r="Y425" i="3" s="1"/>
  <c r="Y429" i="3" s="1"/>
  <c r="N430" i="3"/>
  <c r="N435" i="3" s="1"/>
  <c r="N437" i="3" s="1"/>
  <c r="N94" i="3"/>
  <c r="N96" i="3" s="1"/>
  <c r="AK187" i="3"/>
  <c r="S190" i="3"/>
  <c r="S191" i="3" s="1"/>
  <c r="Z468" i="3"/>
  <c r="E478" i="3" s="1"/>
  <c r="R201" i="3"/>
  <c r="Q294" i="3"/>
  <c r="AK64" i="3"/>
  <c r="Q201" i="3"/>
  <c r="Q430" i="3"/>
  <c r="Q435" i="3" s="1"/>
  <c r="Q437" i="3" s="1"/>
  <c r="AB406" i="3"/>
  <c r="AB407" i="3" s="1"/>
  <c r="Q425" i="3"/>
  <c r="Q429" i="3" s="1"/>
  <c r="Q94" i="3"/>
  <c r="Q404" i="3" s="1"/>
  <c r="Q407" i="3" s="1"/>
  <c r="AD117" i="3"/>
  <c r="S406" i="3"/>
  <c r="E461" i="3"/>
  <c r="E467" i="3" s="1"/>
  <c r="S462" i="3"/>
  <c r="W430" i="3"/>
  <c r="W435" i="3" s="1"/>
  <c r="W201" i="3"/>
  <c r="AK63" i="3"/>
  <c r="O89" i="3"/>
  <c r="AD63" i="3"/>
  <c r="AD89" i="3" s="1"/>
  <c r="AK189" i="3"/>
  <c r="AD189" i="3"/>
  <c r="AD190" i="3" s="1"/>
  <c r="O190" i="3"/>
  <c r="Y452" i="3"/>
  <c r="Y457" i="3" s="1"/>
  <c r="Y459" i="3" s="1"/>
  <c r="Y402" i="3"/>
  <c r="O396" i="3"/>
  <c r="AD346" i="3"/>
  <c r="AK346" i="3"/>
  <c r="AK396" i="3" s="1"/>
  <c r="AK347" i="3"/>
  <c r="AD347" i="3"/>
  <c r="R429" i="3"/>
  <c r="AB429" i="3"/>
  <c r="AM407" i="3"/>
  <c r="O299" i="3"/>
  <c r="K341" i="3"/>
  <c r="K447" i="3" s="1"/>
  <c r="K451" i="3" s="1"/>
  <c r="F416" i="3"/>
  <c r="F425" i="3" s="1"/>
  <c r="F94" i="3"/>
  <c r="P430" i="3"/>
  <c r="P435" i="3" s="1"/>
  <c r="P437" i="3" s="1"/>
  <c r="P201" i="3"/>
  <c r="AK102" i="3"/>
  <c r="AD102" i="3"/>
  <c r="R438" i="3"/>
  <c r="R444" i="3" s="1"/>
  <c r="R446" i="3" s="1"/>
  <c r="R294" i="3"/>
  <c r="R452" i="3"/>
  <c r="R457" i="3" s="1"/>
  <c r="R459" i="3" s="1"/>
  <c r="R402" i="3"/>
  <c r="M452" i="3"/>
  <c r="M457" i="3" s="1"/>
  <c r="M459" i="3" s="1"/>
  <c r="M402" i="3"/>
  <c r="C474" i="3"/>
  <c r="H468" i="3"/>
  <c r="E474" i="3" s="1"/>
  <c r="H467" i="3"/>
  <c r="H474" i="3" s="1"/>
  <c r="C476" i="3"/>
  <c r="J468" i="3"/>
  <c r="E476" i="3" s="1"/>
  <c r="J467" i="3"/>
  <c r="H476" i="3" s="1"/>
  <c r="N429" i="3"/>
  <c r="G416" i="3"/>
  <c r="G425" i="3" s="1"/>
  <c r="G94" i="3"/>
  <c r="AB439" i="3"/>
  <c r="AB445" i="3" s="1"/>
  <c r="AB446" i="3" s="1"/>
  <c r="AM293" i="3"/>
  <c r="AB294" i="3"/>
  <c r="L429" i="3"/>
  <c r="H478" i="3"/>
  <c r="M94" i="3"/>
  <c r="F446" i="3"/>
  <c r="N452" i="3"/>
  <c r="N457" i="3" s="1"/>
  <c r="N459" i="3" s="1"/>
  <c r="N402" i="3"/>
  <c r="K452" i="3"/>
  <c r="K457" i="3" s="1"/>
  <c r="K459" i="3" s="1"/>
  <c r="K402" i="3"/>
  <c r="S452" i="3"/>
  <c r="S457" i="3" s="1"/>
  <c r="S459" i="3" s="1"/>
  <c r="S402" i="3"/>
  <c r="R404" i="3"/>
  <c r="R407" i="3" s="1"/>
  <c r="R96" i="3"/>
  <c r="Y404" i="3"/>
  <c r="Y407" i="3" s="1"/>
  <c r="Y96" i="3"/>
  <c r="O101" i="3"/>
  <c r="K184" i="3"/>
  <c r="K191" i="3" s="1"/>
  <c r="P416" i="3"/>
  <c r="P425" i="3" s="1"/>
  <c r="P94" i="3"/>
  <c r="AB437" i="3"/>
  <c r="AB461" i="3"/>
  <c r="L430" i="3"/>
  <c r="L435" i="3" s="1"/>
  <c r="L437" i="3" s="1"/>
  <c r="L201" i="3"/>
  <c r="Y438" i="3"/>
  <c r="Y444" i="3" s="1"/>
  <c r="Y446" i="3" s="1"/>
  <c r="Y294" i="3"/>
  <c r="L452" i="3"/>
  <c r="L457" i="3" s="1"/>
  <c r="L459" i="3" s="1"/>
  <c r="L402" i="3"/>
  <c r="F452" i="3"/>
  <c r="F457" i="3" s="1"/>
  <c r="F459" i="3" s="1"/>
  <c r="F402" i="3"/>
  <c r="G452" i="3"/>
  <c r="G457" i="3" s="1"/>
  <c r="G459" i="3" s="1"/>
  <c r="G402" i="3"/>
  <c r="O16" i="3"/>
  <c r="K59" i="3"/>
  <c r="O438" i="3"/>
  <c r="O444" i="3" s="1"/>
  <c r="O446" i="3" s="1"/>
  <c r="O294" i="3"/>
  <c r="L96" i="3"/>
  <c r="AB96" i="3"/>
  <c r="S286" i="3"/>
  <c r="AK286" i="3" s="1"/>
  <c r="AD286" i="3"/>
  <c r="M425" i="3"/>
  <c r="AL286" i="3"/>
  <c r="S416" i="3" l="1"/>
  <c r="S425" i="3" s="1"/>
  <c r="E468" i="3"/>
  <c r="G430" i="3"/>
  <c r="G435" i="3" s="1"/>
  <c r="G437" i="3" s="1"/>
  <c r="F201" i="3"/>
  <c r="F430" i="3"/>
  <c r="F435" i="3" s="1"/>
  <c r="F437" i="3" s="1"/>
  <c r="I468" i="3"/>
  <c r="E475" i="3" s="1"/>
  <c r="C475" i="3"/>
  <c r="Q461" i="3"/>
  <c r="Q467" i="3" s="1"/>
  <c r="J475" i="3" s="1"/>
  <c r="N404" i="3"/>
  <c r="N407" i="3" s="1"/>
  <c r="T437" i="3"/>
  <c r="T461" i="3"/>
  <c r="S201" i="3"/>
  <c r="S430" i="3"/>
  <c r="S435" i="3" s="1"/>
  <c r="S437" i="3" s="1"/>
  <c r="Q96" i="3"/>
  <c r="AK190" i="3"/>
  <c r="W437" i="3"/>
  <c r="W461" i="3"/>
  <c r="AD16" i="3"/>
  <c r="AD59" i="3" s="1"/>
  <c r="O59" i="3"/>
  <c r="P461" i="3"/>
  <c r="P429" i="3"/>
  <c r="AK101" i="3"/>
  <c r="AD101" i="3"/>
  <c r="AD184" i="3" s="1"/>
  <c r="AD191" i="3" s="1"/>
  <c r="O184" i="3"/>
  <c r="M404" i="3"/>
  <c r="M407" i="3" s="1"/>
  <c r="M96" i="3"/>
  <c r="G461" i="3"/>
  <c r="G429" i="3"/>
  <c r="F404" i="3"/>
  <c r="F407" i="3" s="1"/>
  <c r="F96" i="3"/>
  <c r="S404" i="3"/>
  <c r="S407" i="3" s="1"/>
  <c r="S96" i="3"/>
  <c r="O452" i="3"/>
  <c r="O457" i="3" s="1"/>
  <c r="O459" i="3" s="1"/>
  <c r="O402" i="3"/>
  <c r="N461" i="3"/>
  <c r="M461" i="3"/>
  <c r="M429" i="3"/>
  <c r="S438" i="3"/>
  <c r="S444" i="3" s="1"/>
  <c r="S446" i="3" s="1"/>
  <c r="S294" i="3"/>
  <c r="K416" i="3"/>
  <c r="K425" i="3" s="1"/>
  <c r="K94" i="3"/>
  <c r="AM461" i="3"/>
  <c r="AB467" i="3"/>
  <c r="P404" i="3"/>
  <c r="P407" i="3" s="1"/>
  <c r="P96" i="3"/>
  <c r="K430" i="3"/>
  <c r="K435" i="3" s="1"/>
  <c r="K437" i="3" s="1"/>
  <c r="K201" i="3"/>
  <c r="G404" i="3"/>
  <c r="G407" i="3" s="1"/>
  <c r="G96" i="3"/>
  <c r="F429" i="3"/>
  <c r="AK299" i="3"/>
  <c r="AD299" i="3"/>
  <c r="AD341" i="3" s="1"/>
  <c r="O341" i="3"/>
  <c r="S429" i="3"/>
  <c r="O420" i="3"/>
  <c r="AK89" i="3"/>
  <c r="L461" i="3"/>
  <c r="AB462" i="3"/>
  <c r="AB468" i="3" s="1"/>
  <c r="Y461" i="3"/>
  <c r="R461" i="3"/>
  <c r="AD396" i="3"/>
  <c r="Q468" i="3" l="1"/>
  <c r="G475" i="3" s="1"/>
  <c r="F461" i="3"/>
  <c r="T468" i="3"/>
  <c r="T467" i="3"/>
  <c r="S461" i="3"/>
  <c r="S467" i="3" s="1"/>
  <c r="J472" i="3" s="1"/>
  <c r="W468" i="3"/>
  <c r="W467" i="3"/>
  <c r="Y467" i="3"/>
  <c r="H477" i="3" s="1"/>
  <c r="C477" i="3"/>
  <c r="Y468" i="3"/>
  <c r="E477" i="3" s="1"/>
  <c r="L468" i="3"/>
  <c r="F474" i="3" s="1"/>
  <c r="L467" i="3"/>
  <c r="I474" i="3" s="1"/>
  <c r="K461" i="3"/>
  <c r="K429" i="3"/>
  <c r="M467" i="3"/>
  <c r="I475" i="3" s="1"/>
  <c r="M468" i="3"/>
  <c r="F475" i="3" s="1"/>
  <c r="O191" i="3"/>
  <c r="AK184" i="3"/>
  <c r="P468" i="3"/>
  <c r="G474" i="3" s="1"/>
  <c r="P467" i="3"/>
  <c r="J474" i="3" s="1"/>
  <c r="AD404" i="3"/>
  <c r="AD416" i="3"/>
  <c r="R468" i="3"/>
  <c r="G476" i="3" s="1"/>
  <c r="R467" i="3"/>
  <c r="J476" i="3" s="1"/>
  <c r="O447" i="3"/>
  <c r="O451" i="3" s="1"/>
  <c r="AK341" i="3"/>
  <c r="C472" i="3"/>
  <c r="C479" i="3" s="1"/>
  <c r="F468" i="3"/>
  <c r="E472" i="3" s="1"/>
  <c r="F467" i="3"/>
  <c r="H472" i="3" s="1"/>
  <c r="K404" i="3"/>
  <c r="K407" i="3" s="1"/>
  <c r="K96" i="3"/>
  <c r="N468" i="3"/>
  <c r="F476" i="3" s="1"/>
  <c r="N467" i="3"/>
  <c r="I476" i="3" s="1"/>
  <c r="G467" i="3"/>
  <c r="H473" i="3" s="1"/>
  <c r="C473" i="3"/>
  <c r="G468" i="3"/>
  <c r="E473" i="3" s="1"/>
  <c r="O416" i="3"/>
  <c r="O425" i="3" s="1"/>
  <c r="AK59" i="3"/>
  <c r="O94" i="3"/>
  <c r="S468" i="3" l="1"/>
  <c r="G472" i="3" s="1"/>
  <c r="H479" i="3"/>
  <c r="E479" i="3"/>
  <c r="AK416" i="3"/>
  <c r="AK404" i="3"/>
  <c r="O404" i="3"/>
  <c r="O407" i="3" s="1"/>
  <c r="O96" i="3"/>
  <c r="O429" i="3"/>
  <c r="O430" i="3"/>
  <c r="O435" i="3" s="1"/>
  <c r="O437" i="3" s="1"/>
  <c r="O201" i="3"/>
  <c r="AK191" i="3"/>
  <c r="K467" i="3"/>
  <c r="I473" i="3" s="1"/>
  <c r="K468" i="3"/>
  <c r="F473" i="3" s="1"/>
  <c r="O461" i="3" l="1"/>
  <c r="O467" i="3" l="1"/>
  <c r="I472" i="3" s="1"/>
  <c r="O468" i="3"/>
  <c r="F472" i="3" s="1"/>
  <c r="C23" i="1" l="1"/>
</calcChain>
</file>

<file path=xl/comments1.xml><?xml version="1.0" encoding="utf-8"?>
<comments xmlns="http://schemas.openxmlformats.org/spreadsheetml/2006/main">
  <authors>
    <author>Автор</author>
  </authors>
  <commentList>
    <comment ref="AE17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3 контейнера</t>
        </r>
      </text>
    </comment>
    <comment ref="U1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  <comment ref="AE1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3 контейнера</t>
        </r>
      </text>
    </comment>
    <comment ref="I2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225 кв.м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  <comment ref="AB2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4 ст*3р</t>
        </r>
      </text>
    </comment>
    <comment ref="AE2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на 4 контейнера</t>
        </r>
      </text>
    </comment>
    <comment ref="CF24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100 б/к: 2 урны 1 скамейка, 350 садовый камень</t>
        </r>
      </text>
    </comment>
    <comment ref="CF26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100 б/к</t>
        </r>
      </text>
    </comment>
    <comment ref="CF27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90 б/к; 3 урны и 3 скамейки</t>
        </r>
      </text>
    </comment>
    <comment ref="AE2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4 контейнера</t>
        </r>
      </text>
    </comment>
    <comment ref="CF3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110 б/к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Строение 1, 2.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Строение 1, 2.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Строение 1,2.</t>
        </r>
      </text>
    </comment>
    <comment ref="B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+ акт луганская 10-3
</t>
        </r>
      </text>
    </comment>
    <comment ref="F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арка 64 м.
</t>
        </r>
      </text>
    </comment>
    <comment ref="B1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+акт бакинская 6
</t>
        </r>
      </text>
    </comment>
    <comment ref="B1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+ акт бакинская 12</t>
        </r>
      </text>
    </comment>
    <comment ref="F2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арка 28м.
</t>
        </r>
      </text>
    </comment>
    <comment ref="F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арка 24м</t>
        </r>
      </text>
    </comment>
    <comment ref="F2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арка 25 м.</t>
        </r>
      </text>
    </comment>
    <comment ref="F2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арка 27 м.
</t>
        </r>
      </text>
    </comment>
    <comment ref="B2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к.1,2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2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  <comment ref="V2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3 контейнера</t>
        </r>
      </text>
    </comment>
    <comment ref="P2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  <comment ref="V2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на 4 контейнера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J14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  <comment ref="J15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ремонт</t>
        </r>
      </text>
    </comment>
  </commentList>
</comments>
</file>

<file path=xl/sharedStrings.xml><?xml version="1.0" encoding="utf-8"?>
<sst xmlns="http://schemas.openxmlformats.org/spreadsheetml/2006/main" count="1004" uniqueCount="314">
  <si>
    <t>Бирюлёво Восточное</t>
  </si>
  <si>
    <t>Бирюлёво Западное</t>
  </si>
  <si>
    <t>Братеево</t>
  </si>
  <si>
    <t>Даниловский</t>
  </si>
  <si>
    <t>Донской</t>
  </si>
  <si>
    <t>Зябликово</t>
  </si>
  <si>
    <t>Москворечье-Сабурово</t>
  </si>
  <si>
    <t>Нагорный</t>
  </si>
  <si>
    <t>Нагатино-Садовники</t>
  </si>
  <si>
    <t>Нагатинский Затон</t>
  </si>
  <si>
    <t>Орехово-Борисово Северное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</si>
  <si>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</si>
  <si>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</si>
  <si>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</si>
  <si>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</si>
  <si>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</si>
  <si>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Районы</t>
  </si>
  <si>
    <t>Кол-во дворов</t>
  </si>
  <si>
    <t>Финансирование, тыс. руб.</t>
  </si>
  <si>
    <t>Прочие работы</t>
  </si>
  <si>
    <t>Общий объем выделенных бюджетных ассигнований
тыс. руб.</t>
  </si>
  <si>
    <t xml:space="preserve">Устройство гостевых парковочных карманов </t>
  </si>
  <si>
    <t>Капитальный ремонт газона</t>
  </si>
  <si>
    <t>Ремонт отдельных участков ограждений</t>
  </si>
  <si>
    <t>Прочие расходы</t>
  </si>
  <si>
    <t>кв.м.</t>
  </si>
  <si>
    <t>тыс.руб.</t>
  </si>
  <si>
    <t>м/м</t>
  </si>
  <si>
    <t>шт.</t>
  </si>
  <si>
    <t>ед.</t>
  </si>
  <si>
    <t>пог.м</t>
  </si>
  <si>
    <t>тыс. руб</t>
  </si>
  <si>
    <t xml:space="preserve">Устройство межквартальных городков                     </t>
  </si>
  <si>
    <t>№ п/п</t>
  </si>
  <si>
    <t>Площадь</t>
  </si>
  <si>
    <t xml:space="preserve">Ремонт асфальтовых покрытий      </t>
  </si>
  <si>
    <t>пог.м.</t>
  </si>
  <si>
    <r>
      <t xml:space="preserve">Затраты на работы </t>
    </r>
    <r>
      <rPr>
        <b/>
        <u/>
        <sz val="10"/>
        <rFont val="Times New Roman"/>
        <family val="1"/>
        <charset val="204"/>
      </rPr>
      <t>текущего</t>
    </r>
    <r>
      <rPr>
        <b/>
        <sz val="10"/>
        <rFont val="Times New Roman"/>
        <family val="1"/>
        <charset val="204"/>
      </rPr>
      <t xml:space="preserve"> характера</t>
    </r>
  </si>
  <si>
    <r>
      <t xml:space="preserve">Затраты на работы </t>
    </r>
    <r>
      <rPr>
        <b/>
        <u/>
        <sz val="10"/>
        <rFont val="Times New Roman"/>
        <family val="1"/>
        <charset val="204"/>
      </rPr>
      <t>капитального</t>
    </r>
    <r>
      <rPr>
        <b/>
        <sz val="10"/>
        <rFont val="Times New Roman"/>
        <family val="1"/>
        <charset val="204"/>
      </rPr>
      <t xml:space="preserve"> характера</t>
    </r>
  </si>
  <si>
    <t>АДРЕС                                                                                                     дворовой территории</t>
  </si>
  <si>
    <t>тыс.кв.м.</t>
  </si>
  <si>
    <t xml:space="preserve">Установка бортового камня                                      </t>
  </si>
  <si>
    <t xml:space="preserve">Установка нового ограждения                                       </t>
  </si>
  <si>
    <t xml:space="preserve">Ремонт лестницы                                   </t>
  </si>
  <si>
    <t xml:space="preserve">Устройство контейнерных павильонов                         </t>
  </si>
  <si>
    <t xml:space="preserve">Устройство игрового комплекса                   </t>
  </si>
  <si>
    <t xml:space="preserve"> Установка МАФ                           (кол-во детских площадок)                                                      </t>
  </si>
  <si>
    <t xml:space="preserve">Устройство синтетического покрытия на детской площадке с устройством основания и установкой садового бортового камня                                                               </t>
  </si>
  <si>
    <t xml:space="preserve">Текущий ремонт асфальтовых покрытий                                                </t>
  </si>
  <si>
    <t xml:space="preserve">Ремонт газонов                                               </t>
  </si>
  <si>
    <t>ИТОГО затраты на работы капитального характера:</t>
  </si>
  <si>
    <t>ИТОГО затраты на работы текущего характера:</t>
  </si>
  <si>
    <t xml:space="preserve">Обшая стоимость двора </t>
  </si>
  <si>
    <t>"УТВЕРЖДАЮ"</t>
  </si>
  <si>
    <t>"____" _______________ 20__ г.</t>
  </si>
  <si>
    <t>"СОГЛАСОВАНО"</t>
  </si>
  <si>
    <t>ТИТУЛЬНЫЙ СПИСОК</t>
  </si>
  <si>
    <t>И.о. начальника АТИ по ЮАО</t>
  </si>
  <si>
    <t>_________________ И.Г.Мальцев</t>
  </si>
  <si>
    <t>на благоустройство дворовых территорий Южного административного округа города Москвы в 2014 году</t>
  </si>
  <si>
    <t>Глава управы района __________________</t>
  </si>
  <si>
    <t>__________________ Ф.И.О.</t>
  </si>
  <si>
    <t>Распределение лимитов бюджетных ассигнований на благоустройство дворовых территорий в 2014 году</t>
  </si>
  <si>
    <t>Указать в примечании, если работы капитального и текущего характера на одних и тех же дворовых территориях</t>
  </si>
  <si>
    <t>Объем финансирования по основным программным мероприятиям распределяется ГКУ ИС района на капитальный и текущий ремонт самостоятельно</t>
  </si>
  <si>
    <t>распределение по видам расходов:</t>
  </si>
  <si>
    <r>
      <t xml:space="preserve">в т.ч. работы                                 </t>
    </r>
    <r>
      <rPr>
        <b/>
        <sz val="11"/>
        <color theme="1"/>
        <rFont val="Times New Roman"/>
        <family val="1"/>
        <charset val="204"/>
      </rPr>
      <t>текущего</t>
    </r>
    <r>
      <rPr>
        <sz val="11"/>
        <color theme="1"/>
        <rFont val="Times New Roman"/>
        <family val="1"/>
        <charset val="204"/>
      </rPr>
      <t xml:space="preserve"> характера</t>
    </r>
  </si>
  <si>
    <t>Плановое задание                              на 2014 год (двор)</t>
  </si>
  <si>
    <r>
      <t xml:space="preserve">в т.ч. работы                           </t>
    </r>
    <r>
      <rPr>
        <b/>
        <sz val="11"/>
        <color theme="1"/>
        <rFont val="Times New Roman"/>
        <family val="1"/>
        <charset val="204"/>
      </rPr>
      <t>капитального</t>
    </r>
    <r>
      <rPr>
        <sz val="11"/>
        <color theme="1"/>
        <rFont val="Times New Roman"/>
        <family val="1"/>
        <charset val="204"/>
      </rPr>
      <t xml:space="preserve"> характера</t>
    </r>
  </si>
  <si>
    <t>урны</t>
  </si>
  <si>
    <t>скамейки</t>
  </si>
  <si>
    <t>качель</t>
  </si>
  <si>
    <t>карусель</t>
  </si>
  <si>
    <t>комплекс</t>
  </si>
  <si>
    <t>балансир</t>
  </si>
  <si>
    <t>горка</t>
  </si>
  <si>
    <t>тенисный стол</t>
  </si>
  <si>
    <t>песочница</t>
  </si>
  <si>
    <t>пружинная качалка</t>
  </si>
  <si>
    <t>змейка</t>
  </si>
  <si>
    <t>шведская стенка</t>
  </si>
  <si>
    <t>тыс.</t>
  </si>
  <si>
    <t>СОГЛАСОВАНО:</t>
  </si>
  <si>
    <t>УТВЕРЖДАЮ:</t>
  </si>
  <si>
    <t>Глава Управы района Царицыно</t>
  </si>
  <si>
    <t>Первый заместитель префекта ЮАО</t>
  </si>
  <si>
    <t>В.Г.Чернышов</t>
  </si>
  <si>
    <t>О.В.Малинин</t>
  </si>
  <si>
    <t>"____"__________________2012 г.</t>
  </si>
  <si>
    <t xml:space="preserve"> </t>
  </si>
  <si>
    <t>КЛАССИФИКАЦИЯ ТЕРРИТОРИИ   по ГКУ " ИС района ЦАРИЦЫНО"  на 01.01.2012 год</t>
  </si>
  <si>
    <t>Адрес                                                                                                                                                        на 01.01.2012 г.</t>
  </si>
  <si>
    <t>Дополнительные парковочные карманы (1 класс)</t>
  </si>
  <si>
    <t>Асфальт всего</t>
  </si>
  <si>
    <t>Классификация  асфальта</t>
  </si>
  <si>
    <t>Ручная уборка</t>
  </si>
  <si>
    <t>Мех.уборка</t>
  </si>
  <si>
    <t>Грунт БТИ 2010</t>
  </si>
  <si>
    <t xml:space="preserve">Грунт по актам </t>
  </si>
  <si>
    <t>Грунт</t>
  </si>
  <si>
    <t>Газон БТИ  2010</t>
  </si>
  <si>
    <t xml:space="preserve">Газон по актам </t>
  </si>
  <si>
    <t>Газон</t>
  </si>
  <si>
    <t>Прочая тер.</t>
  </si>
  <si>
    <t>в т.ч. площадь контейн. Площ.</t>
  </si>
  <si>
    <t>Всего</t>
  </si>
  <si>
    <t>СНЯТО асфаль</t>
  </si>
  <si>
    <t>ИТОГО асфальт</t>
  </si>
  <si>
    <t>Снято грунт</t>
  </si>
  <si>
    <t>ИТОГО грунт</t>
  </si>
  <si>
    <t>Снято газон</t>
  </si>
  <si>
    <t>ИТОГО газон</t>
  </si>
  <si>
    <t>Площадь контейн. площадок</t>
  </si>
  <si>
    <t>кол-во контейнеров</t>
  </si>
  <si>
    <t>Общая площадь</t>
  </si>
  <si>
    <t>Итого</t>
  </si>
  <si>
    <t>Участок № 3 - 1</t>
  </si>
  <si>
    <t>Бехтерева  ул.</t>
  </si>
  <si>
    <t>Кавказский б - р</t>
  </si>
  <si>
    <t>Кавказский б-р</t>
  </si>
  <si>
    <t>Кантемировкая ул.</t>
  </si>
  <si>
    <t>Пролетарский пр-т</t>
  </si>
  <si>
    <t>14 / 49</t>
  </si>
  <si>
    <t>Итого: ( уч. 3-1)</t>
  </si>
  <si>
    <t>в т.ч.не убираемая площадь</t>
  </si>
  <si>
    <t>Участок № 3 - 2</t>
  </si>
  <si>
    <t>25 / 49</t>
  </si>
  <si>
    <t>35/2</t>
  </si>
  <si>
    <t>Севанская ул.</t>
  </si>
  <si>
    <t>Итого ( уч.3-2)</t>
  </si>
  <si>
    <t>Без.хоз.тер-ия</t>
  </si>
  <si>
    <t>Бехтеревские сады, пересечение ул. Севанская и ул.Бехтерева</t>
  </si>
  <si>
    <t>Итого без.хоз.терр-я</t>
  </si>
  <si>
    <t>ИТОГО уч №№3,1-3,2</t>
  </si>
  <si>
    <t>в т.ч.не убираемая площадь по уч. 3,1-3,2 всего</t>
  </si>
  <si>
    <t>ВСЕГО (с учетом неубираемой территории):</t>
  </si>
  <si>
    <t>Участок  № 5</t>
  </si>
  <si>
    <t>Бакинская  ул.</t>
  </si>
  <si>
    <t>,</t>
  </si>
  <si>
    <t>Веселая  ул.</t>
  </si>
  <si>
    <t>Луганская  ул.</t>
  </si>
  <si>
    <t>Севанская  ул.</t>
  </si>
  <si>
    <t>25/31</t>
  </si>
  <si>
    <t>Тимуровская  ул.</t>
  </si>
  <si>
    <t>Товарищеская ул.</t>
  </si>
  <si>
    <t>ИТОГО:</t>
  </si>
  <si>
    <t xml:space="preserve">ЖСК </t>
  </si>
  <si>
    <t>Бакинская  ул</t>
  </si>
  <si>
    <t>ЖСК  ИТОГО:</t>
  </si>
  <si>
    <t>ИТОГО уч.5</t>
  </si>
  <si>
    <t>Склон реки Чертановка</t>
  </si>
  <si>
    <t>Тимуровская ул. Д. 7</t>
  </si>
  <si>
    <t>Бехтеревские сады, пересечение ул. Севанская и ул. Бехтерева</t>
  </si>
  <si>
    <t>ул. Каспийская, склон вдоль ж/д</t>
  </si>
  <si>
    <t>ул. Бехтерева д. 45 к.2 и д.49 к.2</t>
  </si>
  <si>
    <t>ул. Промышленная д. 3 (площ. для выгула собак)</t>
  </si>
  <si>
    <t>ВСЕГО (с учетом неуб.терр-и):</t>
  </si>
  <si>
    <t>участок № 4</t>
  </si>
  <si>
    <t>Ереванская ул.</t>
  </si>
  <si>
    <t>Каспийская  ул.</t>
  </si>
  <si>
    <t>Луганская ул.</t>
  </si>
  <si>
    <t xml:space="preserve">Луганская ул. </t>
  </si>
  <si>
    <t>ИТОГО уч.4</t>
  </si>
  <si>
    <t>ул. Бехтерева, проезд от разворотного круга до входа на Котляковское кладбище</t>
  </si>
  <si>
    <t>Территория между станцией переливания крови (Бакинская 31) и д. 29 по ул. Бакинская</t>
  </si>
  <si>
    <t>Территория между стоматологической поликлиникой (Каспийская 38) и Вет. лечебницей (Каспийская 40)</t>
  </si>
  <si>
    <t>Участок 27</t>
  </si>
  <si>
    <t>Каспийская ул.</t>
  </si>
  <si>
    <t>Кантемировская ул.</t>
  </si>
  <si>
    <t>Медиков  ул.</t>
  </si>
  <si>
    <t xml:space="preserve"> 1/1</t>
  </si>
  <si>
    <t xml:space="preserve">  1/1</t>
  </si>
  <si>
    <t>ИТОГО уч.27</t>
  </si>
  <si>
    <t>Участок № 61</t>
  </si>
  <si>
    <t>Кантемировская ул</t>
  </si>
  <si>
    <t xml:space="preserve">Пролетарский пр-т   </t>
  </si>
  <si>
    <t>ИТОГО уч.61</t>
  </si>
  <si>
    <t>ВСЕГО ГУИС</t>
  </si>
  <si>
    <t>бесхозы</t>
  </si>
  <si>
    <t>ф-8</t>
  </si>
  <si>
    <t>Руководитель ГУ "ИС района Царицыно"</t>
  </si>
  <si>
    <t>А.А. Воронцов</t>
  </si>
  <si>
    <t>Доп. парк. карманы (1 класс)</t>
  </si>
  <si>
    <t>грунт</t>
  </si>
  <si>
    <t>газон</t>
  </si>
  <si>
    <t>гаражи, ракушки</t>
  </si>
  <si>
    <t>спортплощадки</t>
  </si>
  <si>
    <t>Бесхозы</t>
  </si>
  <si>
    <t>Итого уч.3 с бесхозом</t>
  </si>
  <si>
    <t>ВСЕГО 3 уч.</t>
  </si>
  <si>
    <t>Итого уч. 5</t>
  </si>
  <si>
    <t>Итого уч.5 с бесхозом</t>
  </si>
  <si>
    <t>ВСЕГО 5 уч.</t>
  </si>
  <si>
    <t>Гуп "Жилищник-1"</t>
  </si>
  <si>
    <t>Итого уч.4 с бесхозом</t>
  </si>
  <si>
    <t>ВСЕГО 4 уч.</t>
  </si>
  <si>
    <t>ВСЕГО 27 уч.</t>
  </si>
  <si>
    <t>Итого уч.61 с бесхозом</t>
  </si>
  <si>
    <t>ВСЕГО 61 уч.</t>
  </si>
  <si>
    <t>Всего по ГУИС</t>
  </si>
  <si>
    <t>Площ. для бюдж. ассиг.</t>
  </si>
  <si>
    <t>Площ. для конкурса</t>
  </si>
  <si>
    <t xml:space="preserve">Всего </t>
  </si>
  <si>
    <t>Для бюджетных ассигнований</t>
  </si>
  <si>
    <t>всего</t>
  </si>
  <si>
    <t>ручная</t>
  </si>
  <si>
    <t>механиз</t>
  </si>
  <si>
    <t>Асфальт</t>
  </si>
  <si>
    <t>1 кат</t>
  </si>
  <si>
    <t>2 кат</t>
  </si>
  <si>
    <t>3 кат</t>
  </si>
  <si>
    <t>4 кат</t>
  </si>
  <si>
    <t>Каспийская ул., склон вдоль ж/д</t>
  </si>
  <si>
    <t>ул. Бехтерева д. 45 к. 2 и д. 49 к.2</t>
  </si>
  <si>
    <t>ул. Промышленная д. 3 (площадка для выгула собак)</t>
  </si>
  <si>
    <t>склон реки Чертановка</t>
  </si>
  <si>
    <t>ул. Кантемировская д. 9</t>
  </si>
  <si>
    <t>ул. Кантемировская 7 под.1</t>
  </si>
  <si>
    <t>ул. Бехтерева , проезд от разворотного круга до входа на Котляковское кладбище</t>
  </si>
  <si>
    <t>Тимуровская ул. д. 7</t>
  </si>
  <si>
    <t>Каспийская 28</t>
  </si>
  <si>
    <t>Территория между р. Городня и железной дорогой Курского направления</t>
  </si>
  <si>
    <t>пересечение ул. Севанская и ул. Бехтерева</t>
  </si>
  <si>
    <t>ул. Кантемировская (территория за домом 61 до Тарного проезда)</t>
  </si>
  <si>
    <t>Устройство пешеходного тротуара из асфальтобетонного покрытия</t>
  </si>
  <si>
    <t>Всего 39 дворовых территорий по благоустройству на 2014 год. 12 дворовых территорий пересекаются по работам текущего и капитального характера, 12 адресов капитального ремонта, 27 текущего</t>
  </si>
  <si>
    <t>Ереванская</t>
  </si>
  <si>
    <t>улица</t>
  </si>
  <si>
    <t>дом</t>
  </si>
  <si>
    <t>кор</t>
  </si>
  <si>
    <t xml:space="preserve">Кавказский </t>
  </si>
  <si>
    <t>1-2</t>
  </si>
  <si>
    <t>Медиков</t>
  </si>
  <si>
    <t>цв.</t>
  </si>
  <si>
    <t>цв</t>
  </si>
  <si>
    <t>пл.отд</t>
  </si>
  <si>
    <t>Итого:</t>
  </si>
  <si>
    <t>района Царицыно за счет средств экономического развития</t>
  </si>
  <si>
    <t>ул. Бакинская</t>
  </si>
  <si>
    <t>ул. Луганская</t>
  </si>
  <si>
    <t>ул. Ереванская</t>
  </si>
  <si>
    <t>Установка садового камня</t>
  </si>
  <si>
    <t xml:space="preserve">Медиков </t>
  </si>
  <si>
    <t>площ.отд.</t>
  </si>
  <si>
    <t>Непредвиденные нужды (портал)</t>
  </si>
  <si>
    <t>устро.новой.кв.м.</t>
  </si>
  <si>
    <t>ремонт     кв.м.</t>
  </si>
  <si>
    <t>остаток</t>
  </si>
  <si>
    <t>реонт подпорной стенки</t>
  </si>
  <si>
    <t xml:space="preserve">Устройство спортивного комплекса  (ремонт спортивной площадки)                           </t>
  </si>
  <si>
    <t>шт./кв.м</t>
  </si>
  <si>
    <t>ремонт водоотвода  192кв.м.</t>
  </si>
  <si>
    <t>Установка урн</t>
  </si>
  <si>
    <t>Установка садовых диванов</t>
  </si>
  <si>
    <t>Устройство пешеходного тротуара из брюсчатки</t>
  </si>
  <si>
    <t>Устройство из гранитной высевки</t>
  </si>
  <si>
    <t>кв..м.</t>
  </si>
  <si>
    <t>Устройство собачей площадки</t>
  </si>
  <si>
    <t xml:space="preserve">кв.м. </t>
  </si>
  <si>
    <t xml:space="preserve">Устройство спортивного комплекса                            </t>
  </si>
  <si>
    <t>Глава управы района Царицыно</t>
  </si>
  <si>
    <t>Руководитель ГКУ "ИС района Царицыно"</t>
  </si>
  <si>
    <t>В.И. Кувакина</t>
  </si>
  <si>
    <t>Титульный список по ремонту дворовых территорий Южного административного округа г.Москвы за счет средств социально-экономического развития (484-ПП) на 2014г. Района Царицыно.</t>
  </si>
  <si>
    <t>Устройство спортивной площадки</t>
  </si>
  <si>
    <t xml:space="preserve">      В.С. Козлов</t>
  </si>
  <si>
    <t xml:space="preserve"> Ереванская</t>
  </si>
  <si>
    <t xml:space="preserve"> Кантемировская</t>
  </si>
  <si>
    <t>Кайспийская</t>
  </si>
  <si>
    <t>Глава Муниципального округа Царицыно</t>
  </si>
  <si>
    <t xml:space="preserve">     </t>
  </si>
  <si>
    <t xml:space="preserve"> ул. Ереванская, д.35</t>
  </si>
  <si>
    <t xml:space="preserve"> ул. Ереванская, д.33</t>
  </si>
  <si>
    <t xml:space="preserve"> ул. Ереванская, д.27</t>
  </si>
  <si>
    <t xml:space="preserve"> ул. Ереванская, д.17, к1,2</t>
  </si>
  <si>
    <t xml:space="preserve"> ул. Ереванская, д.15, к.1,2</t>
  </si>
  <si>
    <t xml:space="preserve"> ул. Ереванская, д.13, к.1,2</t>
  </si>
  <si>
    <t>Кавказский б-р, д.21, к.1</t>
  </si>
  <si>
    <t>Кавказский б-р, д.21, к.2</t>
  </si>
  <si>
    <t>Пролетарский пр-т, д.43, к.3</t>
  </si>
  <si>
    <t>Пролетарский пр-т, д.35</t>
  </si>
  <si>
    <t>Пролетарский пр-т, д.37</t>
  </si>
  <si>
    <t>Пролетарский пр-т, д.39</t>
  </si>
  <si>
    <t>Пролетарский пр-т, д.41</t>
  </si>
  <si>
    <t>Пролетарский пр-т, д.33, к.1</t>
  </si>
  <si>
    <t>Пролетарский пр-т, д.33, к.2</t>
  </si>
  <si>
    <t>Пролетарский пр-т, д.33, к.3</t>
  </si>
  <si>
    <t>Пролетарский пр-т, д.33, к.4</t>
  </si>
  <si>
    <t xml:space="preserve"> ул. Кантемировская, д.31, к.2</t>
  </si>
  <si>
    <t xml:space="preserve"> ул. Кантемировская, д.31, к.3</t>
  </si>
  <si>
    <t xml:space="preserve"> ул. Кантемировская, д.31, к.4</t>
  </si>
  <si>
    <t>ул. Кайспийская, д.6</t>
  </si>
  <si>
    <t>Устройство пешеходного тротуара из брусчатки</t>
  </si>
  <si>
    <t>Титульный список по ремонту дворовых территорий Южного административного округа г.Москвы за счет средств социально-экономического развития               (484-ПП) на 2014г. Района Царицыно.</t>
  </si>
  <si>
    <t xml:space="preserve">    С.А.Белов</t>
  </si>
  <si>
    <t xml:space="preserve">                                      УТВЕРЖДАЮ:</t>
  </si>
  <si>
    <t xml:space="preserve">                   Глава Муниципального округа Царицыно</t>
  </si>
  <si>
    <t xml:space="preserve">                     В.С.Козлов</t>
  </si>
  <si>
    <t xml:space="preserve">             СОГЛАСОВАНО:</t>
  </si>
  <si>
    <t xml:space="preserve">  С.А.Белов</t>
  </si>
  <si>
    <t xml:space="preserve">Установка бортового камня, п.м.                  </t>
  </si>
  <si>
    <t>садовый</t>
  </si>
  <si>
    <t>дорожный</t>
  </si>
  <si>
    <t>Устройство пешеходного тротуара из асфальтобетонного покрытия, расширение существующих</t>
  </si>
  <si>
    <t xml:space="preserve">Прочие работы </t>
  </si>
  <si>
    <t>Ремонт квартир ветеранов</t>
  </si>
  <si>
    <t>Проведение работ по благоустройству отдельных элементов дворовых территорий</t>
  </si>
  <si>
    <t>Каспийская, д. 18 к.1</t>
  </si>
  <si>
    <t>Приложение</t>
  </si>
  <si>
    <t xml:space="preserve">к решению Совета депутатов муниципального </t>
  </si>
  <si>
    <t xml:space="preserve">округа Царицыно </t>
  </si>
  <si>
    <t>от 26.06.2014 г. №ЦА-01-05-10/3</t>
  </si>
  <si>
    <t>Глава муниципального округа Царицыно                                В.С. Козлов</t>
  </si>
  <si>
    <t>Адресный перечень ремонта дворовых территорий Южного административного округа г.Москвы за счет средств социально-экономического развития (484-ПП) на 2014г. Района Царицыно.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</si>
</sst>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9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Cyr"/>
      <charset val="204"/>
    </font>
    <font>
      <sz val="9"/>
      <color rgb="FFFF000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9"/>
      <name val="Arial Cyr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i/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charset val="204"/>
    </font>
    <font>
      <sz val="9"/>
      <color theme="0"/>
      <name val="Arial Narrow"/>
      <family val="2"/>
      <charset val="204"/>
    </font>
    <font>
      <b/>
      <sz val="9"/>
      <color theme="0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08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/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3" fontId="4" fillId="2" borderId="0" xfId="2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3" fillId="0" borderId="5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 textRotation="90"/>
    </xf>
    <xf numFmtId="0" fontId="23" fillId="0" borderId="4" xfId="0" applyFont="1" applyFill="1" applyBorder="1" applyAlignment="1">
      <alignment vertical="center" textRotation="90"/>
    </xf>
    <xf numFmtId="0" fontId="22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horizontal="center" vertical="center" wrapText="1"/>
    </xf>
    <xf numFmtId="165" fontId="25" fillId="2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27" fillId="2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7" fillId="2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165" fontId="28" fillId="2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left" vertical="center" wrapText="1"/>
    </xf>
    <xf numFmtId="2" fontId="28" fillId="2" borderId="0" xfId="0" applyNumberFormat="1" applyFont="1" applyFill="1" applyBorder="1" applyAlignment="1">
      <alignment horizontal="center" vertical="center" wrapText="1"/>
    </xf>
    <xf numFmtId="1" fontId="24" fillId="2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165" fontId="25" fillId="2" borderId="11" xfId="0" applyNumberFormat="1" applyFont="1" applyFill="1" applyBorder="1" applyAlignment="1">
      <alignment horizontal="center" vertical="center" wrapText="1"/>
    </xf>
    <xf numFmtId="1" fontId="25" fillId="2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textRotation="90" wrapText="1"/>
    </xf>
    <xf numFmtId="1" fontId="28" fillId="0" borderId="3" xfId="0" applyNumberFormat="1" applyFont="1" applyFill="1" applyBorder="1" applyAlignment="1">
      <alignment horizontal="center" vertical="center" wrapText="1"/>
    </xf>
    <xf numFmtId="1" fontId="28" fillId="2" borderId="13" xfId="0" quotePrefix="1" applyNumberFormat="1" applyFont="1" applyFill="1" applyBorder="1" applyAlignment="1">
      <alignment horizontal="left" vertical="center" wrapText="1"/>
    </xf>
    <xf numFmtId="1" fontId="28" fillId="2" borderId="14" xfId="0" quotePrefix="1" applyNumberFormat="1" applyFont="1" applyFill="1" applyBorder="1" applyAlignment="1">
      <alignment horizontal="left" vertical="center" wrapText="1"/>
    </xf>
    <xf numFmtId="1" fontId="28" fillId="2" borderId="15" xfId="0" quotePrefix="1" applyNumberFormat="1" applyFont="1" applyFill="1" applyBorder="1" applyAlignment="1">
      <alignment horizontal="left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165" fontId="28" fillId="2" borderId="3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28" fillId="2" borderId="16" xfId="0" applyNumberFormat="1" applyFont="1" applyFill="1" applyBorder="1" applyAlignment="1">
      <alignment horizontal="center" vertical="center"/>
    </xf>
    <xf numFmtId="2" fontId="28" fillId="2" borderId="18" xfId="0" applyNumberFormat="1" applyFont="1" applyFill="1" applyBorder="1" applyAlignment="1">
      <alignment horizontal="center" vertical="center" wrapText="1"/>
    </xf>
    <xf numFmtId="1" fontId="28" fillId="2" borderId="18" xfId="0" applyNumberFormat="1" applyFont="1" applyFill="1" applyBorder="1" applyAlignment="1">
      <alignment horizontal="center" vertical="center" wrapText="1"/>
    </xf>
    <xf numFmtId="165" fontId="28" fillId="2" borderId="18" xfId="0" applyNumberFormat="1" applyFont="1" applyFill="1" applyBorder="1" applyAlignment="1">
      <alignment horizontal="center" vertical="center" wrapText="1"/>
    </xf>
    <xf numFmtId="1" fontId="28" fillId="2" borderId="20" xfId="0" applyNumberFormat="1" applyFont="1" applyFill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center" wrapText="1"/>
    </xf>
    <xf numFmtId="1" fontId="26" fillId="2" borderId="0" xfId="0" applyNumberFormat="1" applyFont="1" applyFill="1" applyBorder="1" applyAlignment="1">
      <alignment horizontal="center" vertical="center" wrapText="1"/>
    </xf>
    <xf numFmtId="1" fontId="28" fillId="2" borderId="21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left" vertical="center"/>
    </xf>
    <xf numFmtId="2" fontId="28" fillId="2" borderId="2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5" fontId="28" fillId="2" borderId="2" xfId="0" applyNumberFormat="1" applyFont="1" applyFill="1" applyBorder="1" applyAlignment="1">
      <alignment horizontal="center" vertical="center" wrapText="1"/>
    </xf>
    <xf numFmtId="1" fontId="28" fillId="2" borderId="22" xfId="0" applyNumberFormat="1" applyFont="1" applyFill="1" applyBorder="1" applyAlignment="1">
      <alignment horizontal="center" vertical="center" wrapText="1"/>
    </xf>
    <xf numFmtId="1" fontId="28" fillId="2" borderId="23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26" fillId="2" borderId="24" xfId="0" applyNumberFormat="1" applyFont="1" applyFill="1" applyBorder="1" applyAlignment="1">
      <alignment horizontal="center" vertical="center" wrapText="1"/>
    </xf>
    <xf numFmtId="1" fontId="28" fillId="2" borderId="25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left" vertical="center"/>
    </xf>
    <xf numFmtId="2" fontId="28" fillId="2" borderId="1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1" fontId="28" fillId="2" borderId="26" xfId="0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left" vertical="center"/>
    </xf>
    <xf numFmtId="1" fontId="33" fillId="2" borderId="1" xfId="0" applyNumberFormat="1" applyFont="1" applyFill="1" applyBorder="1" applyAlignment="1">
      <alignment horizontal="center" vertical="center" wrapText="1"/>
    </xf>
    <xf numFmtId="1" fontId="28" fillId="2" borderId="27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left" vertical="center"/>
    </xf>
    <xf numFmtId="2" fontId="28" fillId="2" borderId="3" xfId="0" applyNumberFormat="1" applyFont="1" applyFill="1" applyBorder="1" applyAlignment="1">
      <alignment horizontal="center" vertical="center" wrapText="1"/>
    </xf>
    <xf numFmtId="1" fontId="28" fillId="2" borderId="28" xfId="0" applyNumberFormat="1" applyFont="1" applyFill="1" applyBorder="1" applyAlignment="1">
      <alignment horizontal="center" vertical="center" wrapText="1"/>
    </xf>
    <xf numFmtId="1" fontId="28" fillId="2" borderId="6" xfId="0" applyNumberFormat="1" applyFont="1" applyFill="1" applyBorder="1" applyAlignment="1">
      <alignment horizontal="center" vertical="center" wrapText="1"/>
    </xf>
    <xf numFmtId="1" fontId="33" fillId="2" borderId="3" xfId="0" applyNumberFormat="1" applyFont="1" applyFill="1" applyBorder="1" applyAlignment="1">
      <alignment horizontal="center" vertical="center" wrapText="1"/>
    </xf>
    <xf numFmtId="1" fontId="25" fillId="2" borderId="16" xfId="0" applyNumberFormat="1" applyFont="1" applyFill="1" applyBorder="1" applyAlignment="1">
      <alignment horizontal="center" vertical="center"/>
    </xf>
    <xf numFmtId="1" fontId="25" fillId="2" borderId="29" xfId="0" applyNumberFormat="1" applyFont="1" applyFill="1" applyBorder="1" applyAlignment="1">
      <alignment horizontal="left" vertical="center"/>
    </xf>
    <xf numFmtId="2" fontId="25" fillId="2" borderId="16" xfId="0" applyNumberFormat="1" applyFont="1" applyFill="1" applyBorder="1" applyAlignment="1">
      <alignment horizontal="center" vertical="center" wrapText="1"/>
    </xf>
    <xf numFmtId="2" fontId="25" fillId="2" borderId="19" xfId="0" applyNumberFormat="1" applyFont="1" applyFill="1" applyBorder="1" applyAlignment="1">
      <alignment horizontal="center" vertical="center" wrapText="1"/>
    </xf>
    <xf numFmtId="2" fontId="25" fillId="2" borderId="29" xfId="0" applyNumberFormat="1" applyFont="1" applyFill="1" applyBorder="1" applyAlignment="1">
      <alignment horizontal="center" vertical="center" wrapText="1"/>
    </xf>
    <xf numFmtId="1" fontId="25" fillId="2" borderId="29" xfId="0" applyNumberFormat="1" applyFont="1" applyFill="1" applyBorder="1" applyAlignment="1">
      <alignment horizontal="center" vertical="center" wrapText="1"/>
    </xf>
    <xf numFmtId="165" fontId="25" fillId="2" borderId="29" xfId="0" applyNumberFormat="1" applyFont="1" applyFill="1" applyBorder="1" applyAlignment="1">
      <alignment horizontal="center" vertical="center" wrapText="1"/>
    </xf>
    <xf numFmtId="1" fontId="25" fillId="2" borderId="30" xfId="0" applyNumberFormat="1" applyFont="1" applyFill="1" applyBorder="1" applyAlignment="1">
      <alignment horizontal="center" vertical="center" wrapText="1"/>
    </xf>
    <xf numFmtId="1" fontId="25" fillId="2" borderId="23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1" fontId="25" fillId="2" borderId="3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0" xfId="0" applyNumberFormat="1" applyFont="1" applyFill="1" applyAlignment="1">
      <alignment horizontal="center" vertical="center" wrapText="1"/>
    </xf>
    <xf numFmtId="1" fontId="25" fillId="2" borderId="32" xfId="0" applyNumberFormat="1" applyFont="1" applyFill="1" applyBorder="1" applyAlignment="1">
      <alignment horizontal="center" vertical="center"/>
    </xf>
    <xf numFmtId="1" fontId="25" fillId="2" borderId="32" xfId="0" applyNumberFormat="1" applyFont="1" applyFill="1" applyBorder="1" applyAlignment="1">
      <alignment horizontal="left" vertical="center"/>
    </xf>
    <xf numFmtId="1" fontId="25" fillId="2" borderId="18" xfId="0" applyNumberFormat="1" applyFont="1" applyFill="1" applyBorder="1" applyAlignment="1">
      <alignment horizontal="left" vertical="center"/>
    </xf>
    <xf numFmtId="1" fontId="25" fillId="2" borderId="19" xfId="0" applyNumberFormat="1" applyFont="1" applyFill="1" applyBorder="1" applyAlignment="1">
      <alignment horizontal="left" vertical="center"/>
    </xf>
    <xf numFmtId="2" fontId="28" fillId="2" borderId="29" xfId="0" applyNumberFormat="1" applyFont="1" applyFill="1" applyBorder="1" applyAlignment="1">
      <alignment horizontal="center" vertical="center" wrapText="1"/>
    </xf>
    <xf numFmtId="1" fontId="28" fillId="2" borderId="29" xfId="0" applyNumberFormat="1" applyFont="1" applyFill="1" applyBorder="1" applyAlignment="1">
      <alignment horizontal="center" vertical="center" wrapText="1"/>
    </xf>
    <xf numFmtId="165" fontId="28" fillId="2" borderId="29" xfId="0" applyNumberFormat="1" applyFont="1" applyFill="1" applyBorder="1" applyAlignment="1">
      <alignment horizontal="center" vertical="center" wrapText="1"/>
    </xf>
    <xf numFmtId="1" fontId="34" fillId="2" borderId="0" xfId="0" applyNumberFormat="1" applyFont="1" applyFill="1" applyBorder="1" applyAlignment="1">
      <alignment horizontal="center" vertical="center" wrapText="1"/>
    </xf>
    <xf numFmtId="1" fontId="25" fillId="2" borderId="33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left" vertical="center"/>
    </xf>
    <xf numFmtId="1" fontId="25" fillId="2" borderId="34" xfId="0" applyNumberFormat="1" applyFont="1" applyFill="1" applyBorder="1" applyAlignment="1">
      <alignment horizontal="center" vertical="center" wrapText="1"/>
    </xf>
    <xf numFmtId="1" fontId="28" fillId="2" borderId="32" xfId="0" applyNumberFormat="1" applyFont="1" applyFill="1" applyBorder="1" applyAlignment="1">
      <alignment horizontal="center" vertical="center"/>
    </xf>
    <xf numFmtId="2" fontId="28" fillId="2" borderId="2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1" fontId="25" fillId="2" borderId="22" xfId="0" applyNumberFormat="1" applyFont="1" applyFill="1" applyBorder="1" applyAlignment="1">
      <alignment horizontal="center" vertical="center"/>
    </xf>
    <xf numFmtId="2" fontId="28" fillId="2" borderId="4" xfId="0" applyNumberFormat="1" applyFont="1" applyFill="1" applyBorder="1" applyAlignment="1">
      <alignment horizontal="center" vertical="center"/>
    </xf>
    <xf numFmtId="1" fontId="28" fillId="2" borderId="4" xfId="0" applyNumberFormat="1" applyFont="1" applyFill="1" applyBorder="1" applyAlignment="1">
      <alignment horizontal="center" vertical="center"/>
    </xf>
    <xf numFmtId="1" fontId="25" fillId="2" borderId="35" xfId="0" applyNumberFormat="1" applyFont="1" applyFill="1" applyBorder="1" applyAlignment="1">
      <alignment horizontal="center" vertical="center"/>
    </xf>
    <xf numFmtId="1" fontId="28" fillId="2" borderId="36" xfId="0" applyNumberFormat="1" applyFont="1" applyFill="1" applyBorder="1" applyAlignment="1">
      <alignment horizontal="center" vertical="center"/>
    </xf>
    <xf numFmtId="2" fontId="25" fillId="2" borderId="4" xfId="0" applyNumberFormat="1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165" fontId="25" fillId="2" borderId="4" xfId="0" applyNumberFormat="1" applyFont="1" applyFill="1" applyBorder="1" applyAlignment="1">
      <alignment horizontal="center" vertical="center" wrapText="1"/>
    </xf>
    <xf numFmtId="2" fontId="28" fillId="2" borderId="4" xfId="0" applyNumberFormat="1" applyFont="1" applyFill="1" applyBorder="1" applyAlignment="1">
      <alignment horizontal="center" vertical="center" wrapText="1"/>
    </xf>
    <xf numFmtId="1" fontId="25" fillId="2" borderId="35" xfId="0" applyNumberFormat="1" applyFont="1" applyFill="1" applyBorder="1" applyAlignment="1">
      <alignment horizontal="center" vertical="center" wrapText="1"/>
    </xf>
    <xf numFmtId="2" fontId="25" fillId="2" borderId="37" xfId="0" applyNumberFormat="1" applyFont="1" applyFill="1" applyBorder="1" applyAlignment="1">
      <alignment horizontal="center" vertical="center" wrapText="1"/>
    </xf>
    <xf numFmtId="1" fontId="25" fillId="2" borderId="37" xfId="0" applyNumberFormat="1" applyFont="1" applyFill="1" applyBorder="1" applyAlignment="1">
      <alignment horizontal="center" vertical="center" wrapText="1"/>
    </xf>
    <xf numFmtId="165" fontId="25" fillId="2" borderId="37" xfId="0" applyNumberFormat="1" applyFont="1" applyFill="1" applyBorder="1" applyAlignment="1">
      <alignment horizontal="center" vertical="center" wrapText="1"/>
    </xf>
    <xf numFmtId="1" fontId="25" fillId="2" borderId="38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Border="1" applyAlignment="1">
      <alignment horizontal="left" vertical="center" wrapText="1"/>
    </xf>
    <xf numFmtId="1" fontId="25" fillId="2" borderId="2" xfId="0" applyNumberFormat="1" applyFont="1" applyFill="1" applyBorder="1" applyAlignment="1">
      <alignment horizontal="left" vertical="center"/>
    </xf>
    <xf numFmtId="1" fontId="33" fillId="2" borderId="23" xfId="0" applyNumberFormat="1" applyFont="1" applyFill="1" applyBorder="1" applyAlignment="1">
      <alignment horizontal="center" vertical="center" wrapText="1"/>
    </xf>
    <xf numFmtId="2" fontId="32" fillId="2" borderId="2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2" fontId="28" fillId="3" borderId="2" xfId="0" applyNumberFormat="1" applyFont="1" applyFill="1" applyBorder="1" applyAlignment="1">
      <alignment horizontal="center" vertical="center"/>
    </xf>
    <xf numFmtId="1" fontId="25" fillId="2" borderId="16" xfId="0" applyNumberFormat="1" applyFont="1" applyFill="1" applyBorder="1" applyAlignment="1">
      <alignment horizontal="center" vertical="center" wrapText="1"/>
    </xf>
    <xf numFmtId="165" fontId="25" fillId="2" borderId="16" xfId="0" applyNumberFormat="1" applyFont="1" applyFill="1" applyBorder="1" applyAlignment="1">
      <alignment horizontal="center" vertical="center" wrapText="1"/>
    </xf>
    <xf numFmtId="1" fontId="25" fillId="2" borderId="39" xfId="0" applyNumberFormat="1" applyFont="1" applyFill="1" applyBorder="1" applyAlignment="1">
      <alignment horizontal="center" vertical="center" wrapText="1"/>
    </xf>
    <xf numFmtId="1" fontId="28" fillId="2" borderId="33" xfId="0" applyNumberFormat="1" applyFont="1" applyFill="1" applyBorder="1" applyAlignment="1">
      <alignment horizontal="center" vertical="center"/>
    </xf>
    <xf numFmtId="1" fontId="28" fillId="2" borderId="31" xfId="0" applyNumberFormat="1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2" fontId="25" fillId="2" borderId="2" xfId="0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1" fontId="25" fillId="2" borderId="22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" fontId="25" fillId="2" borderId="26" xfId="0" applyNumberFormat="1" applyFont="1" applyFill="1" applyBorder="1" applyAlignment="1">
      <alignment horizontal="center" vertical="center" wrapText="1"/>
    </xf>
    <xf numFmtId="2" fontId="25" fillId="2" borderId="3" xfId="0" applyNumberFormat="1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165" fontId="25" fillId="2" borderId="3" xfId="0" applyNumberFormat="1" applyFont="1" applyFill="1" applyBorder="1" applyAlignment="1">
      <alignment horizontal="center" vertical="center" wrapText="1"/>
    </xf>
    <xf numFmtId="1" fontId="25" fillId="2" borderId="28" xfId="0" applyNumberFormat="1" applyFont="1" applyFill="1" applyBorder="1" applyAlignment="1">
      <alignment horizontal="center" vertical="center" wrapText="1"/>
    </xf>
    <xf numFmtId="2" fontId="25" fillId="2" borderId="17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left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Fill="1" applyBorder="1" applyAlignment="1">
      <alignment horizontal="center" vertical="center" wrapText="1"/>
    </xf>
    <xf numFmtId="2" fontId="28" fillId="4" borderId="3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 vertical="center" wrapText="1"/>
    </xf>
    <xf numFmtId="2" fontId="25" fillId="2" borderId="39" xfId="0" applyNumberFormat="1" applyFont="1" applyFill="1" applyBorder="1" applyAlignment="1">
      <alignment horizontal="center" vertical="center" wrapText="1"/>
    </xf>
    <xf numFmtId="165" fontId="25" fillId="2" borderId="39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 wrapText="1"/>
    </xf>
    <xf numFmtId="2" fontId="25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65" fontId="25" fillId="0" borderId="29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2" fontId="25" fillId="0" borderId="32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left" vertical="center"/>
    </xf>
    <xf numFmtId="165" fontId="28" fillId="2" borderId="1" xfId="0" applyNumberFormat="1" applyFont="1" applyFill="1" applyBorder="1" applyAlignment="1">
      <alignment horizontal="left" vertical="center"/>
    </xf>
    <xf numFmtId="2" fontId="33" fillId="2" borderId="1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left" vertical="center"/>
    </xf>
    <xf numFmtId="2" fontId="33" fillId="2" borderId="3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2" fontId="25" fillId="2" borderId="32" xfId="0" applyNumberFormat="1" applyFont="1" applyFill="1" applyBorder="1" applyAlignment="1">
      <alignment horizontal="center" vertical="center" wrapText="1"/>
    </xf>
    <xf numFmtId="1" fontId="25" fillId="0" borderId="32" xfId="0" applyNumberFormat="1" applyFont="1" applyFill="1" applyBorder="1" applyAlignment="1">
      <alignment horizontal="center" vertical="center" wrapText="1"/>
    </xf>
    <xf numFmtId="165" fontId="25" fillId="0" borderId="32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165" fontId="28" fillId="2" borderId="4" xfId="0" applyNumberFormat="1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165" fontId="28" fillId="2" borderId="30" xfId="0" applyNumberFormat="1" applyFont="1" applyFill="1" applyBorder="1" applyAlignment="1">
      <alignment horizontal="center" vertical="center" wrapText="1"/>
    </xf>
    <xf numFmtId="165" fontId="28" fillId="2" borderId="16" xfId="0" applyNumberFormat="1" applyFont="1" applyFill="1" applyBorder="1" applyAlignment="1">
      <alignment horizontal="center" vertical="center" wrapText="1"/>
    </xf>
    <xf numFmtId="1" fontId="28" fillId="2" borderId="30" xfId="0" applyNumberFormat="1" applyFont="1" applyFill="1" applyBorder="1" applyAlignment="1">
      <alignment horizontal="center" vertical="center" wrapText="1"/>
    </xf>
    <xf numFmtId="1" fontId="25" fillId="2" borderId="17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center" vertical="center" wrapText="1"/>
    </xf>
    <xf numFmtId="1" fontId="25" fillId="0" borderId="39" xfId="0" applyNumberFormat="1" applyFont="1" applyFill="1" applyBorder="1" applyAlignment="1">
      <alignment horizontal="center" vertical="center" wrapText="1"/>
    </xf>
    <xf numFmtId="165" fontId="25" fillId="0" borderId="39" xfId="0" applyNumberFormat="1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 wrapText="1"/>
    </xf>
    <xf numFmtId="1" fontId="25" fillId="0" borderId="37" xfId="0" applyNumberFormat="1" applyFont="1" applyFill="1" applyBorder="1" applyAlignment="1">
      <alignment horizontal="center" vertical="center" wrapText="1"/>
    </xf>
    <xf numFmtId="165" fontId="25" fillId="0" borderId="37" xfId="0" applyNumberFormat="1" applyFont="1" applyFill="1" applyBorder="1" applyAlignment="1">
      <alignment horizontal="center" vertical="center" wrapText="1"/>
    </xf>
    <xf numFmtId="1" fontId="25" fillId="0" borderId="38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 wrapText="1"/>
    </xf>
    <xf numFmtId="2" fontId="37" fillId="5" borderId="1" xfId="0" applyNumberFormat="1" applyFont="1" applyFill="1" applyBorder="1" applyAlignment="1">
      <alignment horizontal="center" vertical="center" wrapText="1"/>
    </xf>
    <xf numFmtId="1" fontId="37" fillId="5" borderId="1" xfId="0" applyNumberFormat="1" applyFont="1" applyFill="1" applyBorder="1" applyAlignment="1">
      <alignment horizontal="center" vertical="center" wrapText="1"/>
    </xf>
    <xf numFmtId="1" fontId="26" fillId="2" borderId="0" xfId="0" applyNumberFormat="1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39" fillId="2" borderId="0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" fontId="28" fillId="2" borderId="44" xfId="0" applyNumberFormat="1" applyFont="1" applyFill="1" applyBorder="1" applyAlignment="1">
      <alignment horizontal="center" vertical="center" textRotation="90" wrapText="1"/>
    </xf>
    <xf numFmtId="1" fontId="28" fillId="2" borderId="45" xfId="0" applyNumberFormat="1" applyFont="1" applyFill="1" applyBorder="1" applyAlignment="1">
      <alignment horizontal="center" vertical="center" textRotation="90" wrapText="1"/>
    </xf>
    <xf numFmtId="1" fontId="28" fillId="2" borderId="1" xfId="0" applyNumberFormat="1" applyFont="1" applyFill="1" applyBorder="1" applyAlignment="1">
      <alignment horizontal="center" vertical="center" textRotation="90" wrapText="1"/>
    </xf>
    <xf numFmtId="1" fontId="28" fillId="2" borderId="26" xfId="0" applyNumberFormat="1" applyFont="1" applyFill="1" applyBorder="1" applyAlignment="1">
      <alignment horizontal="center" vertical="center" textRotation="90" wrapText="1"/>
    </xf>
    <xf numFmtId="1" fontId="28" fillId="0" borderId="1" xfId="0" applyNumberFormat="1" applyFont="1" applyFill="1" applyBorder="1" applyAlignment="1">
      <alignment horizontal="center" vertical="center" textRotation="90" wrapText="1"/>
    </xf>
    <xf numFmtId="1" fontId="28" fillId="0" borderId="46" xfId="0" applyNumberFormat="1" applyFont="1" applyFill="1" applyBorder="1" applyAlignment="1">
      <alignment horizontal="center" vertical="center" wrapText="1"/>
    </xf>
    <xf numFmtId="1" fontId="28" fillId="0" borderId="47" xfId="0" applyNumberFormat="1" applyFont="1" applyFill="1" applyBorder="1" applyAlignment="1">
      <alignment horizontal="center" vertical="center" wrapText="1"/>
    </xf>
    <xf numFmtId="1" fontId="28" fillId="2" borderId="47" xfId="0" applyNumberFormat="1" applyFont="1" applyFill="1" applyBorder="1" applyAlignment="1">
      <alignment horizontal="center" vertical="center" wrapText="1"/>
    </xf>
    <xf numFmtId="165" fontId="28" fillId="2" borderId="47" xfId="0" applyNumberFormat="1" applyFont="1" applyFill="1" applyBorder="1" applyAlignment="1">
      <alignment horizontal="center" vertical="center" wrapText="1"/>
    </xf>
    <xf numFmtId="1" fontId="28" fillId="2" borderId="48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1" fontId="25" fillId="5" borderId="29" xfId="0" applyNumberFormat="1" applyFont="1" applyFill="1" applyBorder="1" applyAlignment="1">
      <alignment horizontal="center" vertical="center" wrapText="1"/>
    </xf>
    <xf numFmtId="1" fontId="25" fillId="5" borderId="30" xfId="0" applyNumberFormat="1" applyFont="1" applyFill="1" applyBorder="1" applyAlignment="1">
      <alignment horizontal="center" vertical="center" wrapText="1"/>
    </xf>
    <xf numFmtId="1" fontId="40" fillId="2" borderId="2" xfId="0" applyNumberFormat="1" applyFont="1" applyFill="1" applyBorder="1" applyAlignment="1">
      <alignment horizontal="center" vertical="center" wrapText="1"/>
    </xf>
    <xf numFmtId="1" fontId="40" fillId="2" borderId="22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center" wrapText="1"/>
    </xf>
    <xf numFmtId="1" fontId="42" fillId="2" borderId="0" xfId="0" applyNumberFormat="1" applyFont="1" applyFill="1" applyBorder="1" applyAlignment="1">
      <alignment horizontal="center" vertical="center" wrapText="1"/>
    </xf>
    <xf numFmtId="1" fontId="43" fillId="2" borderId="24" xfId="0" applyNumberFormat="1" applyFont="1" applyFill="1" applyBorder="1" applyAlignment="1">
      <alignment horizontal="center" vertical="center" wrapText="1"/>
    </xf>
    <xf numFmtId="1" fontId="42" fillId="2" borderId="0" xfId="0" applyNumberFormat="1" applyFont="1" applyFill="1" applyAlignment="1">
      <alignment horizontal="center" vertical="center" wrapText="1"/>
    </xf>
    <xf numFmtId="1" fontId="40" fillId="2" borderId="1" xfId="0" applyNumberFormat="1" applyFont="1" applyFill="1" applyBorder="1" applyAlignment="1">
      <alignment horizontal="center" vertical="center" wrapText="1"/>
    </xf>
    <xf numFmtId="165" fontId="40" fillId="2" borderId="1" xfId="0" applyNumberFormat="1" applyFont="1" applyFill="1" applyBorder="1" applyAlignment="1">
      <alignment horizontal="center" vertical="center" wrapText="1"/>
    </xf>
    <xf numFmtId="1" fontId="40" fillId="2" borderId="28" xfId="0" applyNumberFormat="1" applyFont="1" applyFill="1" applyBorder="1" applyAlignment="1">
      <alignment horizontal="center" vertical="center" wrapText="1"/>
    </xf>
    <xf numFmtId="1" fontId="43" fillId="2" borderId="0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165" fontId="40" fillId="2" borderId="3" xfId="0" applyNumberFormat="1" applyFont="1" applyFill="1" applyBorder="1" applyAlignment="1">
      <alignment horizontal="center" vertical="center" wrapText="1"/>
    </xf>
    <xf numFmtId="1" fontId="40" fillId="0" borderId="2" xfId="0" applyNumberFormat="1" applyFont="1" applyFill="1" applyBorder="1" applyAlignment="1">
      <alignment horizontal="center" vertical="center" wrapText="1"/>
    </xf>
    <xf numFmtId="1" fontId="40" fillId="0" borderId="22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1" fontId="40" fillId="0" borderId="3" xfId="0" applyNumberFormat="1" applyFont="1" applyFill="1" applyBorder="1" applyAlignment="1">
      <alignment horizontal="center" vertical="center" wrapText="1"/>
    </xf>
    <xf numFmtId="1" fontId="41" fillId="5" borderId="29" xfId="0" applyNumberFormat="1" applyFont="1" applyFill="1" applyBorder="1" applyAlignment="1">
      <alignment horizontal="center" vertical="center" wrapText="1"/>
    </xf>
    <xf numFmtId="1" fontId="41" fillId="5" borderId="30" xfId="0" applyNumberFormat="1" applyFont="1" applyFill="1" applyBorder="1" applyAlignment="1">
      <alignment horizontal="center" vertical="center" wrapText="1"/>
    </xf>
    <xf numFmtId="1" fontId="25" fillId="2" borderId="19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" fontId="25" fillId="6" borderId="29" xfId="0" applyNumberFormat="1" applyFont="1" applyFill="1" applyBorder="1" applyAlignment="1">
      <alignment horizontal="center" vertical="center" wrapText="1"/>
    </xf>
    <xf numFmtId="1" fontId="25" fillId="6" borderId="30" xfId="0" applyNumberFormat="1" applyFont="1" applyFill="1" applyBorder="1" applyAlignment="1">
      <alignment horizontal="center" vertical="center" wrapText="1"/>
    </xf>
    <xf numFmtId="1" fontId="40" fillId="2" borderId="23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1" fontId="40" fillId="2" borderId="26" xfId="0" applyNumberFormat="1" applyFont="1" applyFill="1" applyBorder="1" applyAlignment="1">
      <alignment horizontal="center" vertical="center" wrapText="1"/>
    </xf>
    <xf numFmtId="1" fontId="25" fillId="2" borderId="12" xfId="0" applyNumberFormat="1" applyFont="1" applyFill="1" applyBorder="1" applyAlignment="1">
      <alignment horizontal="center" vertical="center" wrapText="1"/>
    </xf>
    <xf numFmtId="165" fontId="40" fillId="2" borderId="2" xfId="0" applyNumberFormat="1" applyFont="1" applyFill="1" applyBorder="1" applyAlignment="1">
      <alignment horizontal="center" vertical="center" wrapText="1"/>
    </xf>
    <xf numFmtId="1" fontId="40" fillId="2" borderId="35" xfId="0" applyNumberFormat="1" applyFont="1" applyFill="1" applyBorder="1" applyAlignment="1">
      <alignment horizontal="center" vertical="center" wrapText="1"/>
    </xf>
    <xf numFmtId="1" fontId="40" fillId="2" borderId="8" xfId="0" applyNumberFormat="1" applyFont="1" applyFill="1" applyBorder="1" applyAlignment="1">
      <alignment horizontal="center" vertical="center" wrapText="1"/>
    </xf>
    <xf numFmtId="1" fontId="41" fillId="0" borderId="4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1" fontId="25" fillId="7" borderId="16" xfId="0" applyNumberFormat="1" applyFont="1" applyFill="1" applyBorder="1" applyAlignment="1">
      <alignment horizontal="center" vertical="center" wrapText="1"/>
    </xf>
    <xf numFmtId="1" fontId="25" fillId="7" borderId="29" xfId="0" applyNumberFormat="1" applyFont="1" applyFill="1" applyBorder="1" applyAlignment="1">
      <alignment horizontal="left" vertical="center" wrapText="1"/>
    </xf>
    <xf numFmtId="2" fontId="25" fillId="7" borderId="29" xfId="0" applyNumberFormat="1" applyFont="1" applyFill="1" applyBorder="1" applyAlignment="1">
      <alignment horizontal="center" vertical="center" wrapText="1"/>
    </xf>
    <xf numFmtId="1" fontId="25" fillId="7" borderId="29" xfId="0" applyNumberFormat="1" applyFont="1" applyFill="1" applyBorder="1" applyAlignment="1">
      <alignment horizontal="center" vertical="center" wrapText="1"/>
    </xf>
    <xf numFmtId="1" fontId="25" fillId="2" borderId="21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25" fillId="2" borderId="47" xfId="0" applyNumberFormat="1" applyFont="1" applyFill="1" applyBorder="1" applyAlignment="1">
      <alignment horizontal="center" vertical="center" wrapText="1"/>
    </xf>
    <xf numFmtId="1" fontId="25" fillId="2" borderId="48" xfId="0" applyNumberFormat="1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left" vertical="center" wrapText="1"/>
    </xf>
    <xf numFmtId="1" fontId="28" fillId="0" borderId="44" xfId="0" applyNumberFormat="1" applyFont="1" applyFill="1" applyBorder="1" applyAlignment="1">
      <alignment horizontal="center" vertical="center" wrapText="1"/>
    </xf>
    <xf numFmtId="1" fontId="28" fillId="0" borderId="45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28" fillId="0" borderId="48" xfId="0" applyNumberFormat="1" applyFont="1" applyFill="1" applyBorder="1" applyAlignment="1">
      <alignment horizontal="center" vertical="center" wrapText="1"/>
    </xf>
    <xf numFmtId="1" fontId="30" fillId="2" borderId="19" xfId="0" applyNumberFormat="1" applyFont="1" applyFill="1" applyBorder="1" applyAlignment="1">
      <alignment horizontal="center" vertical="center" wrapText="1"/>
    </xf>
    <xf numFmtId="1" fontId="30" fillId="2" borderId="29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left" vertical="center" wrapText="1"/>
    </xf>
    <xf numFmtId="165" fontId="25" fillId="2" borderId="12" xfId="0" applyNumberFormat="1" applyFont="1" applyFill="1" applyBorder="1" applyAlignment="1">
      <alignment horizontal="center" vertical="center" wrapText="1"/>
    </xf>
    <xf numFmtId="1" fontId="28" fillId="2" borderId="49" xfId="0" applyNumberFormat="1" applyFont="1" applyFill="1" applyBorder="1" applyAlignment="1">
      <alignment horizontal="left" vertical="center" wrapText="1"/>
    </xf>
    <xf numFmtId="2" fontId="25" fillId="2" borderId="24" xfId="0" applyNumberFormat="1" applyFont="1" applyFill="1" applyBorder="1" applyAlignment="1">
      <alignment horizontal="center" vertical="center" wrapText="1"/>
    </xf>
    <xf numFmtId="2" fontId="25" fillId="2" borderId="23" xfId="0" applyNumberFormat="1" applyFont="1" applyFill="1" applyBorder="1" applyAlignment="1">
      <alignment horizontal="center" vertical="center" wrapText="1"/>
    </xf>
    <xf numFmtId="1" fontId="28" fillId="2" borderId="53" xfId="0" applyNumberFormat="1" applyFont="1" applyFill="1" applyBorder="1" applyAlignment="1">
      <alignment horizontal="left" vertical="center" wrapText="1"/>
    </xf>
    <xf numFmtId="2" fontId="28" fillId="2" borderId="31" xfId="0" applyNumberFormat="1" applyFont="1" applyFill="1" applyBorder="1" applyAlignment="1">
      <alignment horizontal="center" vertical="center" wrapText="1"/>
    </xf>
    <xf numFmtId="1" fontId="28" fillId="2" borderId="25" xfId="0" applyNumberFormat="1" applyFont="1" applyFill="1" applyBorder="1" applyAlignment="1">
      <alignment horizontal="center" vertical="center" wrapText="1"/>
    </xf>
    <xf numFmtId="1" fontId="28" fillId="2" borderId="55" xfId="0" applyNumberFormat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30" fillId="2" borderId="31" xfId="0" applyNumberFormat="1" applyFont="1" applyFill="1" applyBorder="1" applyAlignment="1">
      <alignment horizontal="center" vertical="center" wrapText="1"/>
    </xf>
    <xf numFmtId="1" fontId="30" fillId="2" borderId="25" xfId="0" applyNumberFormat="1" applyFont="1" applyFill="1" applyBorder="1" applyAlignment="1">
      <alignment horizontal="center" vertical="center" wrapText="1"/>
    </xf>
    <xf numFmtId="1" fontId="30" fillId="2" borderId="26" xfId="0" applyNumberFormat="1" applyFont="1" applyFill="1" applyBorder="1" applyAlignment="1">
      <alignment horizontal="center" vertical="center" wrapText="1"/>
    </xf>
    <xf numFmtId="1" fontId="28" fillId="2" borderId="57" xfId="0" applyNumberFormat="1" applyFont="1" applyFill="1" applyBorder="1" applyAlignment="1">
      <alignment horizontal="left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1" fontId="28" fillId="2" borderId="16" xfId="0" applyNumberFormat="1" applyFont="1" applyFill="1" applyBorder="1" applyAlignment="1">
      <alignment horizontal="left" vertical="center" wrapText="1"/>
    </xf>
    <xf numFmtId="2" fontId="25" fillId="2" borderId="12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left" vertical="center"/>
    </xf>
    <xf numFmtId="2" fontId="28" fillId="2" borderId="1" xfId="0" applyNumberFormat="1" applyFont="1" applyFill="1" applyBorder="1" applyAlignment="1">
      <alignment horizontal="center" vertical="center" textRotation="90" wrapText="1"/>
    </xf>
    <xf numFmtId="2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center" wrapText="1"/>
    </xf>
    <xf numFmtId="1" fontId="45" fillId="2" borderId="1" xfId="0" applyNumberFormat="1" applyFont="1" applyFill="1" applyBorder="1" applyAlignment="1">
      <alignment horizontal="center" vertic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46" fillId="2" borderId="1" xfId="0" applyNumberFormat="1" applyFont="1" applyFill="1" applyBorder="1" applyAlignment="1">
      <alignment horizontal="center" vertical="center" wrapText="1"/>
    </xf>
    <xf numFmtId="1" fontId="46" fillId="2" borderId="0" xfId="0" applyNumberFormat="1" applyFont="1" applyFill="1" applyBorder="1" applyAlignment="1">
      <alignment horizontal="center" vertical="center" wrapText="1"/>
    </xf>
    <xf numFmtId="2" fontId="45" fillId="2" borderId="0" xfId="0" applyNumberFormat="1" applyFont="1" applyFill="1" applyBorder="1" applyAlignment="1">
      <alignment horizontal="center" vertical="center" wrapText="1"/>
    </xf>
    <xf numFmtId="1" fontId="45" fillId="2" borderId="23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center" vertical="center"/>
    </xf>
    <xf numFmtId="2" fontId="26" fillId="2" borderId="0" xfId="0" applyNumberFormat="1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left" vertical="center" wrapText="1"/>
    </xf>
    <xf numFmtId="2" fontId="26" fillId="0" borderId="0" xfId="0" applyNumberFormat="1" applyFont="1" applyFill="1" applyAlignment="1">
      <alignment horizontal="center" vertical="center" wrapText="1"/>
    </xf>
    <xf numFmtId="2" fontId="26" fillId="2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horizontal="center" vertical="center" wrapText="1"/>
    </xf>
    <xf numFmtId="165" fontId="26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2" fillId="8" borderId="1" xfId="0" applyFont="1" applyFill="1" applyBorder="1"/>
    <xf numFmtId="3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vertical="center"/>
    </xf>
    <xf numFmtId="164" fontId="21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4" fontId="21" fillId="2" borderId="0" xfId="0" applyNumberFormat="1" applyFont="1" applyFill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9" fontId="20" fillId="2" borderId="1" xfId="3" applyFont="1" applyFill="1" applyBorder="1" applyAlignment="1">
      <alignment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9" fontId="18" fillId="2" borderId="1" xfId="3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0" fillId="0" borderId="0" xfId="0"/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9" fontId="11" fillId="2" borderId="5" xfId="3" applyFont="1" applyFill="1" applyBorder="1" applyAlignment="1">
      <alignment vertical="center"/>
    </xf>
    <xf numFmtId="9" fontId="11" fillId="2" borderId="10" xfId="3" applyFont="1" applyFill="1" applyBorder="1" applyAlignment="1">
      <alignment vertical="center"/>
    </xf>
    <xf numFmtId="9" fontId="11" fillId="2" borderId="6" xfId="3" applyFont="1" applyFill="1" applyBorder="1" applyAlignment="1">
      <alignment vertical="center"/>
    </xf>
    <xf numFmtId="9" fontId="11" fillId="2" borderId="7" xfId="3" applyFont="1" applyFill="1" applyBorder="1" applyAlignment="1">
      <alignment vertical="center"/>
    </xf>
    <xf numFmtId="9" fontId="11" fillId="2" borderId="0" xfId="3" applyFont="1" applyFill="1" applyBorder="1" applyAlignment="1">
      <alignment vertical="center"/>
    </xf>
    <xf numFmtId="9" fontId="11" fillId="2" borderId="12" xfId="3" applyFont="1" applyFill="1" applyBorder="1" applyAlignment="1">
      <alignment vertical="center"/>
    </xf>
    <xf numFmtId="9" fontId="11" fillId="2" borderId="9" xfId="3" applyFont="1" applyFill="1" applyBorder="1" applyAlignment="1">
      <alignment vertical="center"/>
    </xf>
    <xf numFmtId="9" fontId="11" fillId="2" borderId="11" xfId="3" applyFont="1" applyFill="1" applyBorder="1" applyAlignment="1">
      <alignment vertical="center"/>
    </xf>
    <xf numFmtId="9" fontId="11" fillId="2" borderId="8" xfId="3" applyFont="1" applyFill="1" applyBorder="1" applyAlignment="1">
      <alignment vertical="center"/>
    </xf>
    <xf numFmtId="4" fontId="0" fillId="0" borderId="0" xfId="0" applyNumberFormat="1"/>
    <xf numFmtId="0" fontId="54" fillId="0" borderId="0" xfId="0" applyFont="1"/>
    <xf numFmtId="9" fontId="13" fillId="2" borderId="0" xfId="3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52" fillId="0" borderId="0" xfId="0" applyFont="1"/>
    <xf numFmtId="164" fontId="1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3" fontId="12" fillId="0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52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2" fillId="0" borderId="0" xfId="0" applyFont="1"/>
    <xf numFmtId="16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56" fillId="0" borderId="0" xfId="0" applyFont="1"/>
    <xf numFmtId="0" fontId="55" fillId="0" borderId="0" xfId="0" applyFont="1"/>
    <xf numFmtId="0" fontId="57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Border="1"/>
    <xf numFmtId="0" fontId="15" fillId="2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9" fontId="13" fillId="2" borderId="5" xfId="3" applyFont="1" applyFill="1" applyBorder="1" applyAlignment="1">
      <alignment vertical="center"/>
    </xf>
    <xf numFmtId="9" fontId="13" fillId="2" borderId="10" xfId="3" applyFont="1" applyFill="1" applyBorder="1" applyAlignment="1">
      <alignment vertical="center"/>
    </xf>
    <xf numFmtId="9" fontId="13" fillId="2" borderId="9" xfId="3" applyFont="1" applyFill="1" applyBorder="1" applyAlignment="1">
      <alignment vertical="center"/>
    </xf>
    <xf numFmtId="9" fontId="13" fillId="2" borderId="11" xfId="3" applyFont="1" applyFill="1" applyBorder="1" applyAlignment="1">
      <alignment vertical="center"/>
    </xf>
    <xf numFmtId="9" fontId="13" fillId="2" borderId="8" xfId="3" applyFont="1" applyFill="1" applyBorder="1" applyAlignment="1">
      <alignment vertical="center"/>
    </xf>
    <xf numFmtId="0" fontId="56" fillId="0" borderId="0" xfId="0" applyFont="1" applyAlignment="1"/>
    <xf numFmtId="0" fontId="56" fillId="0" borderId="0" xfId="0" applyFont="1" applyBorder="1"/>
    <xf numFmtId="0" fontId="55" fillId="0" borderId="0" xfId="0" applyFont="1" applyBorder="1"/>
    <xf numFmtId="0" fontId="55" fillId="0" borderId="0" xfId="0" applyFont="1" applyAlignment="1"/>
    <xf numFmtId="0" fontId="3" fillId="0" borderId="0" xfId="0" applyFont="1" applyAlignment="1"/>
    <xf numFmtId="0" fontId="0" fillId="0" borderId="0" xfId="0"/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164" fontId="13" fillId="2" borderId="10" xfId="3" applyNumberFormat="1" applyFont="1" applyFill="1" applyBorder="1" applyAlignment="1">
      <alignment vertical="center"/>
    </xf>
    <xf numFmtId="164" fontId="13" fillId="2" borderId="6" xfId="3" applyNumberFormat="1" applyFont="1" applyFill="1" applyBorder="1" applyAlignment="1">
      <alignment vertical="center"/>
    </xf>
    <xf numFmtId="164" fontId="13" fillId="2" borderId="1" xfId="3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23" fillId="0" borderId="3" xfId="0" applyFont="1" applyFill="1" applyBorder="1" applyAlignment="1">
      <alignment horizontal="center" vertical="center" textRotation="90"/>
    </xf>
    <xf numFmtId="0" fontId="23" fillId="0" borderId="4" xfId="0" applyFont="1" applyFill="1" applyBorder="1" applyAlignment="1">
      <alignment horizontal="center" vertical="center" textRotation="90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164" fontId="16" fillId="2" borderId="1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1" fillId="2" borderId="0" xfId="0" applyFont="1" applyFill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 textRotation="90" wrapText="1"/>
    </xf>
    <xf numFmtId="164" fontId="16" fillId="2" borderId="4" xfId="0" applyNumberFormat="1" applyFont="1" applyFill="1" applyBorder="1" applyAlignment="1">
      <alignment horizontal="center" vertical="center" textRotation="90" wrapText="1"/>
    </xf>
    <xf numFmtId="164" fontId="16" fillId="2" borderId="2" xfId="0" applyNumberFormat="1" applyFont="1" applyFill="1" applyBorder="1" applyAlignment="1">
      <alignment horizontal="center" vertical="center" textRotation="90" wrapText="1"/>
    </xf>
    <xf numFmtId="164" fontId="15" fillId="2" borderId="1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1" fontId="35" fillId="2" borderId="1" xfId="0" applyNumberFormat="1" applyFont="1" applyFill="1" applyBorder="1" applyAlignment="1">
      <alignment horizontal="left" vertic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28" fillId="2" borderId="1" xfId="0" quotePrefix="1" applyNumberFormat="1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textRotation="90" wrapText="1"/>
    </xf>
    <xf numFmtId="2" fontId="28" fillId="0" borderId="1" xfId="0" applyNumberFormat="1" applyFont="1" applyFill="1" applyBorder="1" applyAlignment="1">
      <alignment horizontal="center" vertical="center" textRotation="90" wrapText="1"/>
    </xf>
    <xf numFmtId="2" fontId="28" fillId="0" borderId="1" xfId="0" applyNumberFormat="1" applyFont="1" applyBorder="1" applyAlignment="1">
      <alignment horizontal="center" vertical="center" textRotation="90" wrapText="1"/>
    </xf>
    <xf numFmtId="1" fontId="28" fillId="2" borderId="1" xfId="0" applyNumberFormat="1" applyFont="1" applyFill="1" applyBorder="1" applyAlignment="1">
      <alignment horizontal="center" vertical="center" textRotation="90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left" vertical="center" wrapText="1"/>
    </xf>
    <xf numFmtId="1" fontId="28" fillId="2" borderId="10" xfId="0" applyNumberFormat="1" applyFont="1" applyFill="1" applyBorder="1" applyAlignment="1">
      <alignment horizontal="left" vertical="center" wrapText="1"/>
    </xf>
    <xf numFmtId="1" fontId="28" fillId="2" borderId="6" xfId="0" applyNumberFormat="1" applyFont="1" applyFill="1" applyBorder="1" applyAlignment="1">
      <alignment horizontal="left" vertical="center" wrapText="1"/>
    </xf>
    <xf numFmtId="1" fontId="28" fillId="2" borderId="7" xfId="0" applyNumberFormat="1" applyFont="1" applyFill="1" applyBorder="1" applyAlignment="1">
      <alignment horizontal="left" vertical="center" wrapText="1"/>
    </xf>
    <xf numFmtId="1" fontId="28" fillId="2" borderId="0" xfId="0" applyNumberFormat="1" applyFont="1" applyFill="1" applyBorder="1" applyAlignment="1">
      <alignment horizontal="left" vertical="center" wrapText="1"/>
    </xf>
    <xf numFmtId="1" fontId="28" fillId="2" borderId="12" xfId="0" applyNumberFormat="1" applyFont="1" applyFill="1" applyBorder="1" applyAlignment="1">
      <alignment horizontal="left" vertical="center" wrapText="1"/>
    </xf>
    <xf numFmtId="1" fontId="28" fillId="2" borderId="9" xfId="0" applyNumberFormat="1" applyFont="1" applyFill="1" applyBorder="1" applyAlignment="1">
      <alignment horizontal="left" vertical="center" wrapText="1"/>
    </xf>
    <xf numFmtId="1" fontId="28" fillId="2" borderId="11" xfId="0" applyNumberFormat="1" applyFont="1" applyFill="1" applyBorder="1" applyAlignment="1">
      <alignment horizontal="left" vertical="center" wrapText="1"/>
    </xf>
    <xf numFmtId="1" fontId="28" fillId="2" borderId="8" xfId="0" applyNumberFormat="1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1" fontId="30" fillId="2" borderId="31" xfId="0" applyNumberFormat="1" applyFont="1" applyFill="1" applyBorder="1" applyAlignment="1">
      <alignment horizontal="center" vertical="center" wrapText="1"/>
    </xf>
    <xf numFmtId="1" fontId="30" fillId="2" borderId="25" xfId="0" applyNumberFormat="1" applyFont="1" applyFill="1" applyBorder="1" applyAlignment="1">
      <alignment horizontal="center" vertical="center" wrapText="1"/>
    </xf>
    <xf numFmtId="1" fontId="30" fillId="2" borderId="26" xfId="0" applyNumberFormat="1" applyFont="1" applyFill="1" applyBorder="1" applyAlignment="1">
      <alignment horizontal="center" vertical="center" wrapText="1"/>
    </xf>
    <xf numFmtId="1" fontId="30" fillId="2" borderId="57" xfId="0" applyNumberFormat="1" applyFont="1" applyFill="1" applyBorder="1" applyAlignment="1">
      <alignment horizontal="left" vertical="center" wrapText="1"/>
    </xf>
    <xf numFmtId="1" fontId="30" fillId="2" borderId="58" xfId="0" applyNumberFormat="1" applyFont="1" applyFill="1" applyBorder="1" applyAlignment="1">
      <alignment horizontal="left" vertical="center" wrapText="1"/>
    </xf>
    <xf numFmtId="1" fontId="30" fillId="2" borderId="47" xfId="0" applyNumberFormat="1" applyFont="1" applyFill="1" applyBorder="1" applyAlignment="1">
      <alignment horizontal="center" vertical="center" wrapText="1"/>
    </xf>
    <xf numFmtId="1" fontId="30" fillId="2" borderId="13" xfId="0" applyNumberFormat="1" applyFont="1" applyFill="1" applyBorder="1" applyAlignment="1">
      <alignment horizontal="center" vertical="center" wrapText="1"/>
    </xf>
    <xf numFmtId="1" fontId="30" fillId="2" borderId="46" xfId="0" applyNumberFormat="1" applyFont="1" applyFill="1" applyBorder="1" applyAlignment="1">
      <alignment horizontal="center" vertical="center" wrapText="1"/>
    </xf>
    <xf numFmtId="1" fontId="30" fillId="2" borderId="48" xfId="0" applyNumberFormat="1" applyFont="1" applyFill="1" applyBorder="1" applyAlignment="1">
      <alignment horizontal="center" vertical="center" wrapText="1"/>
    </xf>
    <xf numFmtId="1" fontId="37" fillId="2" borderId="17" xfId="0" applyNumberFormat="1" applyFont="1" applyFill="1" applyBorder="1" applyAlignment="1">
      <alignment horizontal="left" vertical="center" wrapText="1"/>
    </xf>
    <xf numFmtId="1" fontId="37" fillId="2" borderId="19" xfId="0" applyNumberFormat="1" applyFont="1" applyFill="1" applyBorder="1" applyAlignment="1">
      <alignment horizontal="left" vertical="center" wrapText="1"/>
    </xf>
    <xf numFmtId="1" fontId="37" fillId="2" borderId="17" xfId="0" applyNumberFormat="1" applyFont="1" applyFill="1" applyBorder="1" applyAlignment="1">
      <alignment horizontal="center" vertical="center" wrapText="1"/>
    </xf>
    <xf numFmtId="1" fontId="37" fillId="2" borderId="18" xfId="0" applyNumberFormat="1" applyFont="1" applyFill="1" applyBorder="1" applyAlignment="1">
      <alignment horizontal="center" vertical="center" wrapText="1"/>
    </xf>
    <xf numFmtId="1" fontId="37" fillId="2" borderId="19" xfId="0" applyNumberFormat="1" applyFont="1" applyFill="1" applyBorder="1" applyAlignment="1">
      <alignment horizontal="center" vertical="center" wrapText="1"/>
    </xf>
    <xf numFmtId="1" fontId="37" fillId="2" borderId="20" xfId="0" applyNumberFormat="1" applyFont="1" applyFill="1" applyBorder="1" applyAlignment="1">
      <alignment horizontal="center" vertical="center" wrapText="1"/>
    </xf>
    <xf numFmtId="1" fontId="30" fillId="2" borderId="55" xfId="0" applyNumberFormat="1" applyFont="1" applyFill="1" applyBorder="1" applyAlignment="1">
      <alignment horizontal="left" vertical="center" wrapText="1"/>
    </xf>
    <xf numFmtId="1" fontId="30" fillId="2" borderId="56" xfId="0" applyNumberFormat="1" applyFont="1" applyFill="1" applyBorder="1" applyAlignment="1">
      <alignment horizontal="left" vertical="center" wrapText="1"/>
    </xf>
    <xf numFmtId="1" fontId="25" fillId="2" borderId="46" xfId="0" applyNumberFormat="1" applyFont="1" applyFill="1" applyBorder="1" applyAlignment="1">
      <alignment horizontal="center" vertical="center" wrapText="1"/>
    </xf>
    <xf numFmtId="1" fontId="25" fillId="2" borderId="47" xfId="0" applyNumberFormat="1" applyFont="1" applyFill="1" applyBorder="1" applyAlignment="1">
      <alignment horizontal="center" vertical="center" wrapText="1"/>
    </xf>
    <xf numFmtId="1" fontId="28" fillId="0" borderId="43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46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 vertical="center"/>
    </xf>
    <xf numFmtId="1" fontId="28" fillId="2" borderId="50" xfId="0" applyNumberFormat="1" applyFont="1" applyFill="1" applyBorder="1" applyAlignment="1">
      <alignment horizontal="left" vertical="center" wrapText="1"/>
    </xf>
    <xf numFmtId="1" fontId="28" fillId="2" borderId="51" xfId="0" applyNumberFormat="1" applyFont="1" applyFill="1" applyBorder="1" applyAlignment="1">
      <alignment horizontal="left" vertical="center" wrapText="1"/>
    </xf>
    <xf numFmtId="1" fontId="28" fillId="2" borderId="53" xfId="0" applyNumberFormat="1" applyFont="1" applyFill="1" applyBorder="1" applyAlignment="1">
      <alignment horizontal="left" vertical="center" wrapText="1"/>
    </xf>
    <xf numFmtId="1" fontId="28" fillId="2" borderId="54" xfId="0" applyNumberFormat="1" applyFont="1" applyFill="1" applyBorder="1" applyAlignment="1">
      <alignment horizontal="left" vertical="center" wrapText="1"/>
    </xf>
    <xf numFmtId="1" fontId="28" fillId="2" borderId="44" xfId="0" applyNumberFormat="1" applyFont="1" applyFill="1" applyBorder="1" applyAlignment="1">
      <alignment horizontal="center" vertical="center" wrapText="1"/>
    </xf>
    <xf numFmtId="1" fontId="28" fillId="2" borderId="52" xfId="0" applyNumberFormat="1" applyFont="1" applyFill="1" applyBorder="1" applyAlignment="1">
      <alignment horizontal="center" vertical="center" wrapText="1"/>
    </xf>
    <xf numFmtId="1" fontId="28" fillId="2" borderId="43" xfId="0" applyNumberFormat="1" applyFont="1" applyFill="1" applyBorder="1" applyAlignment="1">
      <alignment horizontal="center" vertical="center" wrapText="1"/>
    </xf>
    <xf numFmtId="1" fontId="28" fillId="2" borderId="45" xfId="0" applyNumberFormat="1" applyFont="1" applyFill="1" applyBorder="1" applyAlignment="1">
      <alignment horizontal="center" vertical="center" wrapText="1"/>
    </xf>
    <xf numFmtId="1" fontId="25" fillId="2" borderId="21" xfId="0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1" fontId="41" fillId="0" borderId="27" xfId="0" applyNumberFormat="1" applyFont="1" applyFill="1" applyBorder="1" applyAlignment="1">
      <alignment horizontal="center" vertical="center"/>
    </xf>
    <xf numFmtId="1" fontId="41" fillId="0" borderId="3" xfId="0" applyNumberFormat="1" applyFont="1" applyFill="1" applyBorder="1" applyAlignment="1">
      <alignment horizontal="center" vertical="center"/>
    </xf>
    <xf numFmtId="1" fontId="41" fillId="6" borderId="16" xfId="0" applyNumberFormat="1" applyFont="1" applyFill="1" applyBorder="1" applyAlignment="1">
      <alignment horizontal="center" vertical="center"/>
    </xf>
    <xf numFmtId="1" fontId="41" fillId="6" borderId="29" xfId="0" applyNumberFormat="1" applyFont="1" applyFill="1" applyBorder="1" applyAlignment="1">
      <alignment horizontal="center" vertical="center"/>
    </xf>
    <xf numFmtId="1" fontId="41" fillId="2" borderId="2" xfId="0" applyNumberFormat="1" applyFont="1" applyFill="1" applyBorder="1" applyAlignment="1">
      <alignment horizontal="center" vertical="center" wrapText="1"/>
    </xf>
    <xf numFmtId="1" fontId="25" fillId="2" borderId="25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25" fillId="5" borderId="16" xfId="0" applyNumberFormat="1" applyFont="1" applyFill="1" applyBorder="1" applyAlignment="1">
      <alignment horizontal="center" vertical="center" wrapText="1"/>
    </xf>
    <xf numFmtId="1" fontId="25" fillId="5" borderId="29" xfId="0" applyNumberFormat="1" applyFont="1" applyFill="1" applyBorder="1" applyAlignment="1">
      <alignment horizontal="center" vertical="center" wrapText="1"/>
    </xf>
    <xf numFmtId="1" fontId="40" fillId="2" borderId="21" xfId="0" applyNumberFormat="1" applyFont="1" applyFill="1" applyBorder="1" applyAlignment="1">
      <alignment horizontal="center" vertical="center" wrapText="1"/>
    </xf>
    <xf numFmtId="1" fontId="40" fillId="2" borderId="2" xfId="0" applyNumberFormat="1" applyFont="1" applyFill="1" applyBorder="1" applyAlignment="1">
      <alignment horizontal="center" vertical="center" wrapText="1"/>
    </xf>
    <xf numFmtId="1" fontId="40" fillId="2" borderId="25" xfId="0" applyNumberFormat="1" applyFont="1" applyFill="1" applyBorder="1" applyAlignment="1">
      <alignment horizontal="center" vertical="center"/>
    </xf>
    <xf numFmtId="1" fontId="40" fillId="2" borderId="1" xfId="0" applyNumberFormat="1" applyFont="1" applyFill="1" applyBorder="1" applyAlignment="1">
      <alignment horizontal="center" vertical="center"/>
    </xf>
    <xf numFmtId="1" fontId="40" fillId="2" borderId="27" xfId="0" applyNumberFormat="1" applyFont="1" applyFill="1" applyBorder="1" applyAlignment="1">
      <alignment horizontal="center" vertical="center"/>
    </xf>
    <xf numFmtId="1" fontId="40" fillId="2" borderId="3" xfId="0" applyNumberFormat="1" applyFont="1" applyFill="1" applyBorder="1" applyAlignment="1">
      <alignment horizontal="center" vertical="center"/>
    </xf>
    <xf numFmtId="1" fontId="41" fillId="0" borderId="25" xfId="0" applyNumberFormat="1" applyFont="1" applyFill="1" applyBorder="1" applyAlignment="1">
      <alignment horizontal="center" vertical="center"/>
    </xf>
    <xf numFmtId="1" fontId="41" fillId="0" borderId="1" xfId="0" applyNumberFormat="1" applyFont="1" applyFill="1" applyBorder="1" applyAlignment="1">
      <alignment horizontal="center" vertical="center"/>
    </xf>
    <xf numFmtId="1" fontId="40" fillId="2" borderId="21" xfId="0" applyNumberFormat="1" applyFont="1" applyFill="1" applyBorder="1" applyAlignment="1">
      <alignment horizontal="center" vertical="center"/>
    </xf>
    <xf numFmtId="1" fontId="40" fillId="2" borderId="2" xfId="0" applyNumberFormat="1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1" fontId="28" fillId="2" borderId="47" xfId="0" quotePrefix="1" applyNumberFormat="1" applyFont="1" applyFill="1" applyBorder="1" applyAlignment="1">
      <alignment horizontal="left" vertical="center" wrapText="1"/>
    </xf>
    <xf numFmtId="1" fontId="25" fillId="5" borderId="16" xfId="0" applyNumberFormat="1" applyFont="1" applyFill="1" applyBorder="1" applyAlignment="1">
      <alignment horizontal="center" vertical="center"/>
    </xf>
    <xf numFmtId="1" fontId="25" fillId="5" borderId="29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44" xfId="0" applyNumberFormat="1" applyFont="1" applyFill="1" applyBorder="1" applyAlignment="1">
      <alignment horizontal="center" vertical="center" textRotation="90" wrapText="1"/>
    </xf>
    <xf numFmtId="1" fontId="28" fillId="0" borderId="1" xfId="0" applyNumberFormat="1" applyFont="1" applyFill="1" applyBorder="1" applyAlignment="1">
      <alignment horizontal="center" vertical="center" textRotation="90" wrapText="1"/>
    </xf>
    <xf numFmtId="1" fontId="28" fillId="0" borderId="44" xfId="0" applyNumberFormat="1" applyFont="1" applyBorder="1" applyAlignment="1">
      <alignment horizontal="center" vertical="center" textRotation="90" wrapText="1"/>
    </xf>
    <xf numFmtId="1" fontId="28" fillId="0" borderId="1" xfId="0" applyNumberFormat="1" applyFont="1" applyBorder="1" applyAlignment="1">
      <alignment horizontal="center" vertical="center" textRotation="90" wrapText="1"/>
    </xf>
    <xf numFmtId="1" fontId="28" fillId="2" borderId="44" xfId="0" applyNumberFormat="1" applyFont="1" applyFill="1" applyBorder="1" applyAlignment="1">
      <alignment horizontal="center" vertical="center" textRotation="90" wrapText="1"/>
    </xf>
    <xf numFmtId="1" fontId="39" fillId="0" borderId="0" xfId="0" applyNumberFormat="1" applyFont="1" applyFill="1" applyBorder="1" applyAlignment="1">
      <alignment horizontal="center" vertical="center" wrapText="1"/>
    </xf>
    <xf numFmtId="165" fontId="39" fillId="2" borderId="0" xfId="0" applyNumberFormat="1" applyFont="1" applyFill="1" applyBorder="1" applyAlignment="1">
      <alignment horizontal="center" vertical="center" wrapText="1"/>
    </xf>
    <xf numFmtId="1" fontId="26" fillId="0" borderId="43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" fontId="26" fillId="2" borderId="44" xfId="0" applyNumberFormat="1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left" vertical="center" wrapText="1"/>
    </xf>
    <xf numFmtId="1" fontId="28" fillId="0" borderId="44" xfId="0" applyNumberFormat="1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2" fontId="28" fillId="2" borderId="2" xfId="0" applyNumberFormat="1" applyFont="1" applyFill="1" applyBorder="1" applyAlignment="1">
      <alignment horizontal="center" vertical="center" wrapText="1"/>
    </xf>
    <xf numFmtId="1" fontId="25" fillId="2" borderId="17" xfId="0" applyNumberFormat="1" applyFont="1" applyFill="1" applyBorder="1" applyAlignment="1">
      <alignment horizontal="left" vertical="center"/>
    </xf>
    <xf numFmtId="1" fontId="25" fillId="2" borderId="18" xfId="0" applyNumberFormat="1" applyFont="1" applyFill="1" applyBorder="1" applyAlignment="1">
      <alignment horizontal="left" vertical="center"/>
    </xf>
    <xf numFmtId="1" fontId="25" fillId="2" borderId="19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2" borderId="16" xfId="0" applyNumberFormat="1" applyFont="1" applyFill="1" applyBorder="1" applyAlignment="1">
      <alignment horizontal="center" vertical="center" wrapText="1"/>
    </xf>
    <xf numFmtId="1" fontId="25" fillId="2" borderId="29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38" fillId="0" borderId="41" xfId="0" applyNumberFormat="1" applyFont="1" applyFill="1" applyBorder="1" applyAlignment="1">
      <alignment horizontal="center" vertical="center" wrapText="1"/>
    </xf>
    <xf numFmtId="0" fontId="38" fillId="0" borderId="42" xfId="0" applyNumberFormat="1" applyFont="1" applyFill="1" applyBorder="1" applyAlignment="1">
      <alignment horizontal="center" vertical="center" wrapText="1"/>
    </xf>
    <xf numFmtId="1" fontId="35" fillId="2" borderId="3" xfId="0" applyNumberFormat="1" applyFont="1" applyFill="1" applyBorder="1" applyAlignment="1">
      <alignment horizontal="left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1" fontId="25" fillId="2" borderId="37" xfId="0" applyNumberFormat="1" applyFont="1" applyFill="1" applyBorder="1" applyAlignment="1">
      <alignment horizontal="left" vertical="center"/>
    </xf>
    <xf numFmtId="1" fontId="25" fillId="2" borderId="29" xfId="0" applyNumberFormat="1" applyFont="1" applyFill="1" applyBorder="1" applyAlignment="1">
      <alignment horizontal="left" vertical="center"/>
    </xf>
    <xf numFmtId="1" fontId="28" fillId="2" borderId="2" xfId="0" applyNumberFormat="1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left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5" fontId="28" fillId="2" borderId="3" xfId="0" applyNumberFormat="1" applyFont="1" applyFill="1" applyBorder="1" applyAlignment="1">
      <alignment horizontal="center" vertical="center" wrapText="1"/>
    </xf>
    <xf numFmtId="165" fontId="28" fillId="2" borderId="2" xfId="0" applyNumberFormat="1" applyFont="1" applyFill="1" applyBorder="1" applyAlignment="1">
      <alignment horizontal="center" vertical="center" wrapText="1"/>
    </xf>
    <xf numFmtId="1" fontId="33" fillId="2" borderId="3" xfId="0" applyNumberFormat="1" applyFont="1" applyFill="1" applyBorder="1" applyAlignment="1">
      <alignment horizontal="center" vertical="center" wrapText="1"/>
    </xf>
    <xf numFmtId="1" fontId="33" fillId="2" borderId="2" xfId="0" applyNumberFormat="1" applyFont="1" applyFill="1" applyBorder="1" applyAlignment="1">
      <alignment horizontal="center" vertical="center" wrapText="1"/>
    </xf>
    <xf numFmtId="1" fontId="28" fillId="2" borderId="6" xfId="0" applyNumberFormat="1" applyFont="1" applyFill="1" applyBorder="1" applyAlignment="1">
      <alignment horizontal="center" vertical="center" wrapText="1"/>
    </xf>
    <xf numFmtId="1" fontId="28" fillId="2" borderId="8" xfId="0" applyNumberFormat="1" applyFont="1" applyFill="1" applyBorder="1" applyAlignment="1">
      <alignment horizontal="center" vertical="center" wrapText="1"/>
    </xf>
    <xf numFmtId="1" fontId="25" fillId="2" borderId="32" xfId="0" applyNumberFormat="1" applyFont="1" applyFill="1" applyBorder="1" applyAlignment="1">
      <alignment horizontal="center" vertical="center" wrapText="1"/>
    </xf>
    <xf numFmtId="1" fontId="25" fillId="2" borderId="18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left" vertical="center" wrapText="1"/>
    </xf>
    <xf numFmtId="1" fontId="25" fillId="2" borderId="16" xfId="0" applyNumberFormat="1" applyFont="1" applyFill="1" applyBorder="1" applyAlignment="1">
      <alignment horizontal="center" vertical="center"/>
    </xf>
    <xf numFmtId="1" fontId="25" fillId="2" borderId="29" xfId="0" applyNumberFormat="1" applyFont="1" applyFill="1" applyBorder="1" applyAlignment="1">
      <alignment horizontal="center" vertical="center"/>
    </xf>
    <xf numFmtId="1" fontId="25" fillId="2" borderId="32" xfId="0" applyNumberFormat="1" applyFont="1" applyFill="1" applyBorder="1" applyAlignment="1">
      <alignment horizontal="center" vertical="center"/>
    </xf>
    <xf numFmtId="1" fontId="25" fillId="2" borderId="18" xfId="0" applyNumberFormat="1" applyFont="1" applyFill="1" applyBorder="1" applyAlignment="1">
      <alignment horizontal="center" vertical="center"/>
    </xf>
    <xf numFmtId="1" fontId="25" fillId="2" borderId="19" xfId="0" applyNumberFormat="1" applyFont="1" applyFill="1" applyBorder="1" applyAlignment="1">
      <alignment horizontal="center" vertical="center"/>
    </xf>
    <xf numFmtId="1" fontId="25" fillId="2" borderId="19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 textRotation="90" wrapText="1"/>
    </xf>
    <xf numFmtId="1" fontId="28" fillId="2" borderId="2" xfId="0" applyNumberFormat="1" applyFont="1" applyFill="1" applyBorder="1" applyAlignment="1">
      <alignment horizontal="center" vertical="center" textRotation="90" wrapText="1"/>
    </xf>
    <xf numFmtId="2" fontId="28" fillId="2" borderId="3" xfId="0" applyNumberFormat="1" applyFont="1" applyFill="1" applyBorder="1" applyAlignment="1">
      <alignment horizontal="center" vertical="center" textRotation="90" wrapText="1"/>
    </xf>
    <xf numFmtId="2" fontId="28" fillId="2" borderId="4" xfId="0" applyNumberFormat="1" applyFont="1" applyFill="1" applyBorder="1" applyAlignment="1">
      <alignment horizontal="center" vertical="center" textRotation="90" wrapText="1"/>
    </xf>
    <xf numFmtId="2" fontId="28" fillId="2" borderId="2" xfId="0" applyNumberFormat="1" applyFont="1" applyFill="1" applyBorder="1" applyAlignment="1">
      <alignment horizontal="center" vertical="center" textRotation="90" wrapText="1"/>
    </xf>
    <xf numFmtId="1" fontId="28" fillId="2" borderId="4" xfId="0" applyNumberFormat="1" applyFont="1" applyFill="1" applyBorder="1" applyAlignment="1">
      <alignment horizontal="center" vertical="center" textRotation="90" wrapText="1"/>
    </xf>
    <xf numFmtId="2" fontId="30" fillId="2" borderId="3" xfId="0" applyNumberFormat="1" applyFont="1" applyFill="1" applyBorder="1" applyAlignment="1">
      <alignment horizontal="center" vertical="center" textRotation="90" wrapText="1"/>
    </xf>
    <xf numFmtId="2" fontId="30" fillId="2" borderId="4" xfId="0" applyNumberFormat="1" applyFont="1" applyFill="1" applyBorder="1" applyAlignment="1">
      <alignment horizontal="center" vertical="center" textRotation="90" wrapText="1"/>
    </xf>
    <xf numFmtId="2" fontId="30" fillId="2" borderId="2" xfId="0" applyNumberFormat="1" applyFont="1" applyFill="1" applyBorder="1" applyAlignment="1">
      <alignment horizontal="center" vertical="center" textRotation="90" wrapText="1"/>
    </xf>
    <xf numFmtId="165" fontId="28" fillId="2" borderId="5" xfId="0" applyNumberFormat="1" applyFont="1" applyFill="1" applyBorder="1" applyAlignment="1">
      <alignment horizontal="center" vertical="center" wrapText="1"/>
    </xf>
    <xf numFmtId="165" fontId="28" fillId="2" borderId="10" xfId="0" applyNumberFormat="1" applyFont="1" applyFill="1" applyBorder="1" applyAlignment="1">
      <alignment horizontal="center" vertical="center" wrapText="1"/>
    </xf>
    <xf numFmtId="165" fontId="28" fillId="2" borderId="6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" fontId="26" fillId="2" borderId="6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1" fontId="26" fillId="2" borderId="0" xfId="0" applyNumberFormat="1" applyFont="1" applyFill="1" applyBorder="1" applyAlignment="1">
      <alignment horizontal="center" vertical="center" wrapText="1"/>
    </xf>
    <xf numFmtId="1" fontId="26" fillId="2" borderId="12" xfId="0" applyNumberFormat="1" applyFont="1" applyFill="1" applyBorder="1" applyAlignment="1">
      <alignment horizontal="center" vertical="center" wrapText="1"/>
    </xf>
    <xf numFmtId="1" fontId="26" fillId="2" borderId="9" xfId="0" applyNumberFormat="1" applyFont="1" applyFill="1" applyBorder="1" applyAlignment="1">
      <alignment horizontal="center" vertical="center" wrapText="1"/>
    </xf>
    <xf numFmtId="1" fontId="26" fillId="2" borderId="11" xfId="0" applyNumberFormat="1" applyFont="1" applyFill="1" applyBorder="1" applyAlignment="1">
      <alignment horizontal="center" vertical="center" wrapText="1"/>
    </xf>
    <xf numFmtId="1" fontId="26" fillId="2" borderId="8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 textRotation="90" wrapText="1"/>
    </xf>
    <xf numFmtId="2" fontId="30" fillId="0" borderId="4" xfId="0" applyNumberFormat="1" applyFont="1" applyBorder="1" applyAlignment="1">
      <alignment horizontal="center" vertical="center" textRotation="90" wrapText="1"/>
    </xf>
    <xf numFmtId="2" fontId="30" fillId="0" borderId="2" xfId="0" applyNumberFormat="1" applyFont="1" applyBorder="1" applyAlignment="1">
      <alignment horizontal="center" vertical="center" textRotation="90" wrapText="1"/>
    </xf>
    <xf numFmtId="1" fontId="28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2" fontId="28" fillId="2" borderId="0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2" fontId="28" fillId="2" borderId="11" xfId="0" applyNumberFormat="1" applyFont="1" applyFill="1" applyBorder="1" applyAlignment="1">
      <alignment horizontal="center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2" fillId="0" borderId="10" xfId="0" applyFont="1" applyBorder="1"/>
    <xf numFmtId="0" fontId="52" fillId="0" borderId="6" xfId="0" applyFont="1" applyBorder="1"/>
    <xf numFmtId="0" fontId="52" fillId="0" borderId="7" xfId="0" applyFont="1" applyBorder="1"/>
    <xf numFmtId="0" fontId="52" fillId="0" borderId="0" xfId="0" applyFont="1"/>
    <xf numFmtId="0" fontId="52" fillId="0" borderId="12" xfId="0" applyFont="1" applyBorder="1"/>
    <xf numFmtId="0" fontId="52" fillId="0" borderId="9" xfId="0" applyFont="1" applyBorder="1"/>
    <xf numFmtId="0" fontId="52" fillId="0" borderId="11" xfId="0" applyFont="1" applyBorder="1"/>
    <xf numFmtId="0" fontId="52" fillId="0" borderId="8" xfId="0" applyFont="1" applyBorder="1"/>
    <xf numFmtId="164" fontId="8" fillId="2" borderId="3" xfId="0" applyNumberFormat="1" applyFont="1" applyFill="1" applyBorder="1" applyAlignment="1">
      <alignment horizontal="center" vertical="center" textRotation="90" wrapText="1"/>
    </xf>
    <xf numFmtId="164" fontId="8" fillId="2" borderId="4" xfId="0" applyNumberFormat="1" applyFont="1" applyFill="1" applyBorder="1" applyAlignment="1">
      <alignment horizontal="center" vertical="center" textRotation="90" wrapText="1"/>
    </xf>
    <xf numFmtId="164" fontId="8" fillId="2" borderId="2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colors>
    <mruColors>
      <color rgb="FF6600FF"/>
      <color rgb="FFFF00FF"/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54;&#1071;/&#1058;&#1048;&#1058;&#1059;&#1051;%20&#1048;%20&#1057;&#1052;&#1045;&#1058;&#1067;%20&#1085;&#1072;%2030233611,52,%20&#1085;&#1072;%202014&#1075;,%20&#1057;&#1069;&#1056;&#1056;/&#1056;&#1048;&#1047;&#1059;&#1053;%20&#1054;&#1051;&#1071;/&#1050;&#1051;&#1040;&#1057;&#1057;&#1048;&#1060;&#1048;&#1050;&#1040;&#1062;&#1048;&#1071;%202012/&#1057;&#1090;&#1072;&#1090;&#1080;&#1089;&#1090;&#1080;&#1082;&#1072;%2001.01.2011,&#1088;&#1072;&#1089;&#1095;&#1077;&#1090;&#1099;%20&#1087;&#1086;%20&#1076;&#1074;&#1086;&#1088;&#1085;&#1080;&#1082;&#1072;&#1084;,%20&#1086;&#1090;&#1095;&#1077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54;&#1071;/&#1058;&#1048;&#1058;&#1059;&#1051;%20&#1048;%20&#1057;&#1052;&#1045;&#1058;&#1067;%20&#1085;&#1072;%2030233611,52,%20&#1085;&#1072;%202014&#1075;,%20&#1057;&#1069;&#1056;&#1056;/Documents%20and%20Settings/merzlikina/&#1056;&#1072;&#1073;&#1086;&#1095;&#1080;&#1081;%20&#1089;&#1090;&#1086;&#1083;/&#1052;&#1054;&#1071;/&#1050;&#1086;&#1087;&#1080;&#1103;%202012%20&#1082;&#1083;&#1072;&#1089;&#1089;&#1080;&#1092;&#1080;&#1082;&#1072;&#1094;&#1080;&#1103;%20&#1086;&#1082;&#1089;&#1072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двор."/>
      <sheetName val="дворники "/>
      <sheetName val="табл.класиф.11"/>
      <sheetName val="клас.для подр."/>
      <sheetName val="свод.клас.тер.на 01.01.2011 г."/>
      <sheetName val="утв.клас.для подр.на 11 г."/>
      <sheetName val="раб.клас. на 01.04.11 г."/>
      <sheetName val="выв.убор.пл.ф-8 на 01.06.11 г."/>
      <sheetName val="убор.пл. ф-8 на 01.04.11 г,"/>
      <sheetName val="ф-6 на 1.04.11 г."/>
      <sheetName val="ф-6 на 1.07.11 г. (без ут.)"/>
      <sheetName val="ф-6 на 1.09.11 г. (2012) "/>
      <sheetName val="ф-10 на 01.04.2011 г."/>
      <sheetName val="ф-10 на 01.07.2011 г. (без ут.)"/>
      <sheetName val="ф-10 на 01.09.2011 г. (2012)"/>
      <sheetName val="ф-6 зелень на 01.04.02011 г."/>
      <sheetName val="ф-6 зелень на 01.07.2011 г (бе)"/>
      <sheetName val="ф-6 зелень на 01.09.2011 г  (2)"/>
      <sheetName val="уточнить клас.на 01.07.11"/>
      <sheetName val="уб.пл. уточнить.на 01.07.11"/>
      <sheetName val="уточнить Ф-6 зелень на 01.07."/>
      <sheetName val="уточнФ-6 утв.клас.на 01.07.2011"/>
      <sheetName val="уточнить Ф-10 на 01.07.11"/>
      <sheetName val="класс.по с  01.01.11 г. по Ф-8."/>
      <sheetName val="убор.пл. ф-8 сост. 01.01.11 г."/>
      <sheetName val="Ф-6 клас"/>
      <sheetName val="Ф-6зелень на 01.01.11"/>
      <sheetName val="ф-10 на 01.01.11"/>
      <sheetName val="ф8-ФКУ"/>
      <sheetName val="класс-Ф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21">
          <cell r="AD221">
            <v>1510</v>
          </cell>
        </row>
        <row r="222">
          <cell r="AD222">
            <v>2575</v>
          </cell>
        </row>
        <row r="223">
          <cell r="AD223">
            <v>5978</v>
          </cell>
        </row>
        <row r="224">
          <cell r="AD224">
            <v>4846</v>
          </cell>
        </row>
        <row r="225">
          <cell r="AD225">
            <v>8616</v>
          </cell>
        </row>
        <row r="227">
          <cell r="AD227">
            <v>1103</v>
          </cell>
        </row>
        <row r="228">
          <cell r="AD228">
            <v>3314</v>
          </cell>
        </row>
        <row r="229">
          <cell r="AD229">
            <v>2448</v>
          </cell>
        </row>
        <row r="230">
          <cell r="AD230">
            <v>6018</v>
          </cell>
        </row>
        <row r="232">
          <cell r="AC232">
            <v>20</v>
          </cell>
          <cell r="AD232">
            <v>6337</v>
          </cell>
        </row>
        <row r="233">
          <cell r="AD233">
            <v>1921</v>
          </cell>
        </row>
        <row r="234">
          <cell r="AD234">
            <v>3194</v>
          </cell>
        </row>
        <row r="235">
          <cell r="AD235">
            <v>2311</v>
          </cell>
        </row>
        <row r="236">
          <cell r="AD236">
            <v>5571</v>
          </cell>
        </row>
        <row r="238">
          <cell r="AD238">
            <v>2299</v>
          </cell>
        </row>
        <row r="239">
          <cell r="AD239">
            <v>2588</v>
          </cell>
        </row>
        <row r="240">
          <cell r="AD240">
            <v>7199</v>
          </cell>
        </row>
        <row r="242">
          <cell r="AD242">
            <v>1762</v>
          </cell>
        </row>
        <row r="243">
          <cell r="AD243">
            <v>4824</v>
          </cell>
        </row>
        <row r="244">
          <cell r="AD244">
            <v>2291</v>
          </cell>
        </row>
        <row r="245">
          <cell r="AD245">
            <v>2793</v>
          </cell>
        </row>
        <row r="246">
          <cell r="AD246">
            <v>6438</v>
          </cell>
        </row>
        <row r="248">
          <cell r="AD248">
            <v>3151</v>
          </cell>
        </row>
        <row r="249">
          <cell r="AD249">
            <v>8455</v>
          </cell>
        </row>
        <row r="250">
          <cell r="AD250">
            <v>3455</v>
          </cell>
        </row>
        <row r="254">
          <cell r="AD254">
            <v>3866</v>
          </cell>
        </row>
        <row r="255">
          <cell r="AD255">
            <v>3440</v>
          </cell>
        </row>
        <row r="256">
          <cell r="AD256">
            <v>6468</v>
          </cell>
        </row>
        <row r="257">
          <cell r="AD257">
            <v>5581</v>
          </cell>
        </row>
        <row r="258">
          <cell r="AD258">
            <v>4110</v>
          </cell>
        </row>
        <row r="259">
          <cell r="AD259">
            <v>2553</v>
          </cell>
        </row>
        <row r="260">
          <cell r="AD260">
            <v>3582</v>
          </cell>
        </row>
        <row r="261">
          <cell r="AD261">
            <v>4499</v>
          </cell>
        </row>
        <row r="262">
          <cell r="AD262">
            <v>5712</v>
          </cell>
        </row>
        <row r="263">
          <cell r="AD263">
            <v>10957</v>
          </cell>
        </row>
        <row r="264">
          <cell r="AD264">
            <v>4954</v>
          </cell>
        </row>
        <row r="265">
          <cell r="AC265">
            <v>8</v>
          </cell>
          <cell r="AD265">
            <v>5371</v>
          </cell>
        </row>
        <row r="266">
          <cell r="AD266">
            <v>5773</v>
          </cell>
        </row>
        <row r="267">
          <cell r="AD267">
            <v>10628</v>
          </cell>
        </row>
        <row r="268">
          <cell r="AD268">
            <v>3303</v>
          </cell>
        </row>
        <row r="269">
          <cell r="AD269">
            <v>3591</v>
          </cell>
        </row>
        <row r="270">
          <cell r="AD270">
            <v>12032</v>
          </cell>
        </row>
        <row r="271">
          <cell r="AD271">
            <v>10346</v>
          </cell>
        </row>
        <row r="272">
          <cell r="AD272">
            <v>3840</v>
          </cell>
        </row>
        <row r="273">
          <cell r="AD273">
            <v>4377</v>
          </cell>
        </row>
        <row r="274">
          <cell r="AD274">
            <v>5976</v>
          </cell>
        </row>
        <row r="275">
          <cell r="AD275">
            <v>3583</v>
          </cell>
        </row>
        <row r="276">
          <cell r="AD276">
            <v>2989</v>
          </cell>
        </row>
        <row r="277">
          <cell r="AD277">
            <v>2164</v>
          </cell>
        </row>
        <row r="278">
          <cell r="AD278">
            <v>2559</v>
          </cell>
        </row>
        <row r="279">
          <cell r="AD279">
            <v>5384</v>
          </cell>
        </row>
        <row r="280">
          <cell r="AD280">
            <v>14935</v>
          </cell>
        </row>
        <row r="281">
          <cell r="AC281">
            <v>18</v>
          </cell>
          <cell r="AD281">
            <v>1564</v>
          </cell>
        </row>
        <row r="282">
          <cell r="S282">
            <v>244</v>
          </cell>
          <cell r="AD282">
            <v>3574</v>
          </cell>
        </row>
        <row r="283">
          <cell r="S283">
            <v>129</v>
          </cell>
          <cell r="AD283">
            <v>2389</v>
          </cell>
        </row>
        <row r="284">
          <cell r="AD284">
            <v>3914</v>
          </cell>
        </row>
        <row r="285">
          <cell r="AD285">
            <v>1856</v>
          </cell>
        </row>
        <row r="286">
          <cell r="AD286">
            <v>3148</v>
          </cell>
        </row>
        <row r="287">
          <cell r="AD287">
            <v>3353</v>
          </cell>
        </row>
        <row r="289">
          <cell r="AD289">
            <v>2204</v>
          </cell>
        </row>
        <row r="290">
          <cell r="AC290">
            <v>11</v>
          </cell>
          <cell r="AD290">
            <v>2884</v>
          </cell>
        </row>
        <row r="291">
          <cell r="AC291">
            <v>42</v>
          </cell>
          <cell r="AD291">
            <v>7124</v>
          </cell>
        </row>
        <row r="292">
          <cell r="S292">
            <v>373</v>
          </cell>
          <cell r="W292">
            <v>0</v>
          </cell>
          <cell r="AC292">
            <v>99</v>
          </cell>
          <cell r="AD292">
            <v>342337</v>
          </cell>
        </row>
        <row r="294">
          <cell r="AD294">
            <v>1088</v>
          </cell>
        </row>
        <row r="295">
          <cell r="AD295">
            <v>1087</v>
          </cell>
        </row>
        <row r="299">
          <cell r="AD299">
            <v>297</v>
          </cell>
        </row>
        <row r="300">
          <cell r="AD300">
            <v>3050</v>
          </cell>
        </row>
        <row r="301">
          <cell r="S301">
            <v>0</v>
          </cell>
          <cell r="W301">
            <v>0</v>
          </cell>
          <cell r="AC301">
            <v>0</v>
          </cell>
          <cell r="AD301">
            <v>5522</v>
          </cell>
        </row>
        <row r="302">
          <cell r="S302">
            <v>373</v>
          </cell>
          <cell r="W302">
            <v>0</v>
          </cell>
          <cell r="AC302">
            <v>99</v>
          </cell>
          <cell r="AD302">
            <v>347859</v>
          </cell>
        </row>
        <row r="309">
          <cell r="P309">
            <v>85</v>
          </cell>
          <cell r="U309">
            <v>158</v>
          </cell>
          <cell r="AA309">
            <v>38</v>
          </cell>
          <cell r="AD309">
            <v>1764</v>
          </cell>
        </row>
        <row r="310">
          <cell r="AD310">
            <v>2569</v>
          </cell>
        </row>
        <row r="311">
          <cell r="AD311">
            <v>4183</v>
          </cell>
        </row>
        <row r="312">
          <cell r="AD312">
            <v>8323</v>
          </cell>
        </row>
        <row r="313">
          <cell r="U313">
            <v>165</v>
          </cell>
          <cell r="AD313">
            <v>7266</v>
          </cell>
        </row>
        <row r="314">
          <cell r="U314">
            <v>279</v>
          </cell>
          <cell r="AA314">
            <v>160</v>
          </cell>
          <cell r="AD314">
            <v>7158</v>
          </cell>
        </row>
        <row r="315">
          <cell r="U315">
            <v>261</v>
          </cell>
          <cell r="AA315">
            <v>108</v>
          </cell>
          <cell r="AD315">
            <v>8195</v>
          </cell>
        </row>
        <row r="316">
          <cell r="AD316">
            <v>9260</v>
          </cell>
        </row>
        <row r="317">
          <cell r="AD317">
            <v>5106</v>
          </cell>
        </row>
        <row r="318">
          <cell r="AD318">
            <v>4518</v>
          </cell>
        </row>
        <row r="319">
          <cell r="P319">
            <v>30</v>
          </cell>
          <cell r="U319">
            <v>448</v>
          </cell>
          <cell r="AA319">
            <v>102</v>
          </cell>
          <cell r="AD319">
            <v>6925</v>
          </cell>
        </row>
        <row r="320">
          <cell r="U320">
            <v>251</v>
          </cell>
          <cell r="AA320">
            <v>160</v>
          </cell>
          <cell r="AC320">
            <v>14</v>
          </cell>
          <cell r="AD320">
            <v>9287</v>
          </cell>
        </row>
        <row r="321">
          <cell r="U321">
            <v>230</v>
          </cell>
          <cell r="AA321">
            <v>107</v>
          </cell>
          <cell r="AD321">
            <v>8164</v>
          </cell>
        </row>
        <row r="322">
          <cell r="AD322">
            <v>9132</v>
          </cell>
        </row>
        <row r="323">
          <cell r="S323">
            <v>124</v>
          </cell>
          <cell r="AD323">
            <v>2786</v>
          </cell>
        </row>
        <row r="324">
          <cell r="AD324">
            <v>4187</v>
          </cell>
        </row>
        <row r="325">
          <cell r="P325">
            <v>5</v>
          </cell>
          <cell r="U325">
            <v>139</v>
          </cell>
          <cell r="AD325">
            <v>3632</v>
          </cell>
        </row>
        <row r="326">
          <cell r="P326">
            <v>93</v>
          </cell>
          <cell r="U326">
            <v>151</v>
          </cell>
          <cell r="AD326">
            <v>5843</v>
          </cell>
        </row>
        <row r="327">
          <cell r="AA327">
            <v>175</v>
          </cell>
          <cell r="AD327">
            <v>2476</v>
          </cell>
        </row>
        <row r="328">
          <cell r="U328">
            <v>175</v>
          </cell>
          <cell r="AD328">
            <v>2968</v>
          </cell>
        </row>
        <row r="329">
          <cell r="AD329">
            <v>857</v>
          </cell>
        </row>
        <row r="330">
          <cell r="U330">
            <v>423</v>
          </cell>
          <cell r="AD330">
            <v>1790</v>
          </cell>
        </row>
        <row r="331">
          <cell r="U331">
            <v>220</v>
          </cell>
          <cell r="AD331">
            <v>6156</v>
          </cell>
        </row>
        <row r="332">
          <cell r="U332">
            <v>112</v>
          </cell>
          <cell r="AD332">
            <v>2301</v>
          </cell>
        </row>
        <row r="333">
          <cell r="U333">
            <v>117</v>
          </cell>
          <cell r="AD333">
            <v>2839</v>
          </cell>
        </row>
        <row r="334">
          <cell r="AD334">
            <v>8737</v>
          </cell>
        </row>
        <row r="335">
          <cell r="U335">
            <v>112</v>
          </cell>
          <cell r="AD335">
            <v>1928</v>
          </cell>
        </row>
        <row r="336">
          <cell r="U336">
            <v>183</v>
          </cell>
          <cell r="AD336">
            <v>6718</v>
          </cell>
        </row>
        <row r="337">
          <cell r="AD337">
            <v>4971</v>
          </cell>
        </row>
        <row r="339">
          <cell r="U339">
            <v>125</v>
          </cell>
          <cell r="AD339">
            <v>11022</v>
          </cell>
        </row>
        <row r="340">
          <cell r="U340">
            <v>205</v>
          </cell>
          <cell r="AD340">
            <v>1880</v>
          </cell>
        </row>
        <row r="341">
          <cell r="AD341">
            <v>3503</v>
          </cell>
        </row>
        <row r="342">
          <cell r="AD342">
            <v>1464</v>
          </cell>
        </row>
        <row r="343">
          <cell r="AD343">
            <v>5303</v>
          </cell>
        </row>
        <row r="344">
          <cell r="AD344">
            <v>6469</v>
          </cell>
        </row>
        <row r="345">
          <cell r="AA345">
            <v>552</v>
          </cell>
          <cell r="AD345">
            <v>920</v>
          </cell>
        </row>
        <row r="346">
          <cell r="AD346">
            <v>2216</v>
          </cell>
        </row>
        <row r="347">
          <cell r="U347">
            <v>129</v>
          </cell>
          <cell r="AD347">
            <v>4671</v>
          </cell>
        </row>
        <row r="348">
          <cell r="AD348">
            <v>5554</v>
          </cell>
        </row>
        <row r="349">
          <cell r="AD349">
            <v>1376</v>
          </cell>
        </row>
        <row r="350">
          <cell r="AD350">
            <v>4282</v>
          </cell>
        </row>
        <row r="351">
          <cell r="U351">
            <v>446</v>
          </cell>
          <cell r="AC351">
            <v>20</v>
          </cell>
          <cell r="AD351">
            <v>5638</v>
          </cell>
        </row>
        <row r="370">
          <cell r="P370">
            <v>22</v>
          </cell>
          <cell r="U370">
            <v>357</v>
          </cell>
          <cell r="AA370">
            <v>658</v>
          </cell>
          <cell r="AD370">
            <v>9048</v>
          </cell>
        </row>
        <row r="371">
          <cell r="AD371">
            <v>3106</v>
          </cell>
        </row>
        <row r="372">
          <cell r="AD372">
            <v>4096</v>
          </cell>
        </row>
        <row r="373">
          <cell r="U373">
            <v>259</v>
          </cell>
          <cell r="AD373">
            <v>4723</v>
          </cell>
        </row>
        <row r="374">
          <cell r="AD374">
            <v>10989</v>
          </cell>
        </row>
        <row r="375">
          <cell r="AD375">
            <v>6599</v>
          </cell>
        </row>
        <row r="376">
          <cell r="AA376">
            <v>271</v>
          </cell>
          <cell r="AD376">
            <v>3951</v>
          </cell>
        </row>
        <row r="377">
          <cell r="AD377">
            <v>2115</v>
          </cell>
        </row>
        <row r="378">
          <cell r="AD378">
            <v>7927</v>
          </cell>
        </row>
        <row r="379">
          <cell r="AD379">
            <v>7539</v>
          </cell>
        </row>
        <row r="380">
          <cell r="AD380">
            <v>920</v>
          </cell>
        </row>
        <row r="381">
          <cell r="U381">
            <v>146</v>
          </cell>
          <cell r="AD381">
            <v>6024</v>
          </cell>
        </row>
        <row r="382">
          <cell r="P382">
            <v>431</v>
          </cell>
          <cell r="U382">
            <v>231</v>
          </cell>
          <cell r="AD382">
            <v>6136</v>
          </cell>
        </row>
        <row r="384">
          <cell r="AD384">
            <v>2568</v>
          </cell>
        </row>
        <row r="385">
          <cell r="AC385">
            <v>3</v>
          </cell>
          <cell r="AD385">
            <v>3923</v>
          </cell>
        </row>
        <row r="386">
          <cell r="AD386">
            <v>2614</v>
          </cell>
        </row>
        <row r="387">
          <cell r="AA387">
            <v>647</v>
          </cell>
          <cell r="AD387">
            <v>2031</v>
          </cell>
        </row>
        <row r="389">
          <cell r="AA389">
            <v>849</v>
          </cell>
          <cell r="AD389">
            <v>2325</v>
          </cell>
        </row>
        <row r="390">
          <cell r="AD390">
            <v>8322</v>
          </cell>
        </row>
        <row r="391">
          <cell r="AD391">
            <v>11099</v>
          </cell>
        </row>
        <row r="393">
          <cell r="AD393">
            <v>2703</v>
          </cell>
        </row>
        <row r="394">
          <cell r="U394">
            <v>140</v>
          </cell>
          <cell r="AA394">
            <v>159</v>
          </cell>
          <cell r="AC394">
            <v>16</v>
          </cell>
          <cell r="AD394">
            <v>1801</v>
          </cell>
        </row>
        <row r="395">
          <cell r="AD395">
            <v>3443</v>
          </cell>
        </row>
        <row r="396">
          <cell r="P396">
            <v>240</v>
          </cell>
          <cell r="AD396">
            <v>3343</v>
          </cell>
        </row>
        <row r="397">
          <cell r="AD397">
            <v>10017</v>
          </cell>
        </row>
        <row r="398">
          <cell r="U398">
            <v>229</v>
          </cell>
          <cell r="AD398">
            <v>7426</v>
          </cell>
        </row>
        <row r="399">
          <cell r="AD399">
            <v>4773</v>
          </cell>
        </row>
        <row r="400">
          <cell r="U400">
            <v>198</v>
          </cell>
          <cell r="AD400">
            <v>13722</v>
          </cell>
        </row>
        <row r="401">
          <cell r="U401">
            <v>1016</v>
          </cell>
          <cell r="AA401">
            <v>125</v>
          </cell>
          <cell r="AD401">
            <v>8394</v>
          </cell>
        </row>
        <row r="402">
          <cell r="AA402">
            <v>213</v>
          </cell>
          <cell r="AD402">
            <v>6102</v>
          </cell>
        </row>
        <row r="403">
          <cell r="AD403">
            <v>2600</v>
          </cell>
        </row>
        <row r="404">
          <cell r="U404">
            <v>200</v>
          </cell>
          <cell r="AD404">
            <v>1654</v>
          </cell>
        </row>
        <row r="405">
          <cell r="AC405">
            <v>179</v>
          </cell>
          <cell r="AD405">
            <v>2102</v>
          </cell>
        </row>
        <row r="406">
          <cell r="AA406">
            <v>234</v>
          </cell>
          <cell r="AD406">
            <v>4730</v>
          </cell>
        </row>
        <row r="407">
          <cell r="AD407">
            <v>3210</v>
          </cell>
        </row>
        <row r="408">
          <cell r="P408">
            <v>21</v>
          </cell>
          <cell r="U408">
            <v>49</v>
          </cell>
          <cell r="AD408">
            <v>2404</v>
          </cell>
        </row>
        <row r="409">
          <cell r="P409">
            <v>80</v>
          </cell>
          <cell r="U409">
            <v>124</v>
          </cell>
          <cell r="AC409">
            <v>9</v>
          </cell>
          <cell r="AD409">
            <v>4467</v>
          </cell>
        </row>
        <row r="410">
          <cell r="R410">
            <v>194</v>
          </cell>
          <cell r="AD410">
            <v>5128</v>
          </cell>
        </row>
        <row r="411">
          <cell r="R411">
            <v>108</v>
          </cell>
          <cell r="AA411">
            <v>300</v>
          </cell>
          <cell r="AD411">
            <v>6056</v>
          </cell>
        </row>
        <row r="412">
          <cell r="U412">
            <v>219</v>
          </cell>
          <cell r="AC412">
            <v>15</v>
          </cell>
          <cell r="AD412">
            <v>4284</v>
          </cell>
        </row>
        <row r="413">
          <cell r="U413">
            <v>114</v>
          </cell>
          <cell r="AC413">
            <v>7</v>
          </cell>
          <cell r="AD413">
            <v>4804</v>
          </cell>
        </row>
        <row r="414">
          <cell r="U414">
            <v>191</v>
          </cell>
          <cell r="AD414">
            <v>2733</v>
          </cell>
        </row>
        <row r="415">
          <cell r="AD415">
            <v>4394</v>
          </cell>
        </row>
        <row r="416">
          <cell r="AA416">
            <v>394</v>
          </cell>
          <cell r="AD416">
            <v>5679</v>
          </cell>
        </row>
        <row r="417">
          <cell r="AA417">
            <v>386</v>
          </cell>
          <cell r="AD417">
            <v>7839</v>
          </cell>
        </row>
        <row r="418">
          <cell r="AD418">
            <v>7433</v>
          </cell>
        </row>
        <row r="419">
          <cell r="AD419">
            <v>7021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схозы"/>
      <sheetName val="ф. 8 2011"/>
      <sheetName val="клас моя"/>
      <sheetName val="неубир"/>
      <sheetName val="убир"/>
      <sheetName val="ф. 10"/>
      <sheetName val="ф.6"/>
      <sheetName val="ф.6 зел"/>
      <sheetName val="клас 2012"/>
      <sheetName val="Лист4"/>
      <sheetName val="спортплощ"/>
      <sheetName val="ракушки"/>
      <sheetName val="парк. карм.2011"/>
      <sheetName val="Лист1"/>
      <sheetName val="Лист2"/>
    </sheetNames>
    <sheetDataSet>
      <sheetData sheetId="0" refreshError="1"/>
      <sheetData sheetId="1" refreshError="1">
        <row r="417">
          <cell r="J417">
            <v>2352498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25" sqref="A25:G25"/>
    </sheetView>
  </sheetViews>
  <sheetFormatPr defaultColWidth="9.140625" defaultRowHeight="15" x14ac:dyDescent="0.25"/>
  <cols>
    <col min="1" max="1" width="28.7109375" style="2" customWidth="1"/>
    <col min="2" max="2" width="14.5703125" style="25" customWidth="1"/>
    <col min="3" max="3" width="29.28515625" style="25" customWidth="1"/>
    <col min="4" max="4" width="9.5703125" style="25" customWidth="1"/>
    <col min="5" max="5" width="15.7109375" style="25" customWidth="1"/>
    <col min="6" max="6" width="9.140625" style="25" customWidth="1"/>
    <col min="7" max="7" width="16.85546875" style="25" customWidth="1"/>
    <col min="8" max="9" width="9.140625" style="2"/>
    <col min="10" max="10" width="9.140625" style="19"/>
    <col min="11" max="11" width="11.28515625" style="2" bestFit="1" customWidth="1"/>
    <col min="12" max="12" width="14.7109375" style="2" customWidth="1"/>
    <col min="13" max="16384" width="9.140625" style="2"/>
  </cols>
  <sheetData>
    <row r="1" spans="1:10" x14ac:dyDescent="0.25">
      <c r="A1" s="513" t="s">
        <v>62</v>
      </c>
      <c r="B1" s="513"/>
      <c r="C1" s="513"/>
      <c r="D1" s="513"/>
      <c r="E1" s="513"/>
      <c r="F1" s="513"/>
      <c r="G1" s="513"/>
    </row>
    <row r="2" spans="1:10" x14ac:dyDescent="0.25">
      <c r="A2" s="10"/>
    </row>
    <row r="3" spans="1:10" s="11" customFormat="1" x14ac:dyDescent="0.25">
      <c r="A3" s="516" t="s">
        <v>16</v>
      </c>
      <c r="B3" s="515" t="s">
        <v>67</v>
      </c>
      <c r="C3" s="515" t="s">
        <v>20</v>
      </c>
      <c r="D3" s="514" t="s">
        <v>65</v>
      </c>
      <c r="E3" s="514"/>
      <c r="F3" s="514"/>
      <c r="G3" s="514"/>
      <c r="J3" s="21"/>
    </row>
    <row r="4" spans="1:10" s="11" customFormat="1" ht="51.75" customHeight="1" x14ac:dyDescent="0.25">
      <c r="A4" s="517"/>
      <c r="B4" s="515"/>
      <c r="C4" s="515"/>
      <c r="D4" s="514" t="s">
        <v>68</v>
      </c>
      <c r="E4" s="514"/>
      <c r="F4" s="514" t="s">
        <v>66</v>
      </c>
      <c r="G4" s="514"/>
      <c r="J4" s="21"/>
    </row>
    <row r="5" spans="1:10" s="12" customFormat="1" ht="64.5" customHeight="1" x14ac:dyDescent="0.25">
      <c r="A5" s="518"/>
      <c r="B5" s="515"/>
      <c r="C5" s="515"/>
      <c r="D5" s="37" t="s">
        <v>17</v>
      </c>
      <c r="E5" s="40" t="s">
        <v>18</v>
      </c>
      <c r="F5" s="37" t="s">
        <v>17</v>
      </c>
      <c r="G5" s="40" t="s">
        <v>18</v>
      </c>
    </row>
    <row r="6" spans="1:10" x14ac:dyDescent="0.25">
      <c r="A6" s="16" t="s">
        <v>0</v>
      </c>
      <c r="B6" s="17"/>
      <c r="C6" s="46">
        <v>63657</v>
      </c>
      <c r="D6" s="17"/>
      <c r="E6" s="38"/>
      <c r="F6" s="17"/>
      <c r="G6" s="44"/>
    </row>
    <row r="7" spans="1:10" x14ac:dyDescent="0.25">
      <c r="A7" s="16" t="s">
        <v>1</v>
      </c>
      <c r="B7" s="17"/>
      <c r="C7" s="46">
        <v>58139</v>
      </c>
      <c r="D7" s="17"/>
      <c r="E7" s="38"/>
      <c r="F7" s="17"/>
      <c r="G7" s="44"/>
    </row>
    <row r="8" spans="1:10" x14ac:dyDescent="0.25">
      <c r="A8" s="16" t="s">
        <v>2</v>
      </c>
      <c r="B8" s="17"/>
      <c r="C8" s="46">
        <v>20637</v>
      </c>
      <c r="D8" s="17"/>
      <c r="E8" s="38"/>
      <c r="F8" s="17"/>
      <c r="G8" s="44"/>
    </row>
    <row r="9" spans="1:10" x14ac:dyDescent="0.25">
      <c r="A9" s="16" t="s">
        <v>3</v>
      </c>
      <c r="B9" s="17"/>
      <c r="C9" s="46">
        <v>38597</v>
      </c>
      <c r="D9" s="17"/>
      <c r="E9" s="38"/>
      <c r="F9" s="17"/>
      <c r="G9" s="44"/>
    </row>
    <row r="10" spans="1:10" x14ac:dyDescent="0.25">
      <c r="A10" s="16" t="s">
        <v>4</v>
      </c>
      <c r="B10" s="17"/>
      <c r="C10" s="46">
        <v>25341</v>
      </c>
      <c r="D10" s="17"/>
      <c r="E10" s="38"/>
      <c r="F10" s="17"/>
      <c r="G10" s="44"/>
    </row>
    <row r="11" spans="1:10" x14ac:dyDescent="0.25">
      <c r="A11" s="16" t="s">
        <v>5</v>
      </c>
      <c r="B11" s="17"/>
      <c r="C11" s="46">
        <v>57007</v>
      </c>
      <c r="D11" s="17"/>
      <c r="E11" s="38"/>
      <c r="F11" s="17"/>
      <c r="G11" s="44"/>
    </row>
    <row r="12" spans="1:10" x14ac:dyDescent="0.25">
      <c r="A12" s="16" t="s">
        <v>6</v>
      </c>
      <c r="B12" s="17"/>
      <c r="C12" s="46">
        <v>32777</v>
      </c>
      <c r="D12" s="17"/>
      <c r="E12" s="38"/>
      <c r="F12" s="17"/>
      <c r="G12" s="44"/>
    </row>
    <row r="13" spans="1:10" s="13" customFormat="1" x14ac:dyDescent="0.25">
      <c r="A13" s="16" t="s">
        <v>8</v>
      </c>
      <c r="B13" s="17"/>
      <c r="C13" s="46">
        <v>38233.5</v>
      </c>
      <c r="D13" s="17"/>
      <c r="E13" s="38"/>
      <c r="F13" s="17"/>
      <c r="G13" s="44"/>
      <c r="J13" s="22"/>
    </row>
    <row r="14" spans="1:10" s="13" customFormat="1" x14ac:dyDescent="0.25">
      <c r="A14" s="16" t="s">
        <v>9</v>
      </c>
      <c r="B14" s="17"/>
      <c r="C14" s="46">
        <v>56942</v>
      </c>
      <c r="D14" s="17"/>
      <c r="E14" s="38"/>
      <c r="F14" s="17"/>
      <c r="G14" s="44"/>
      <c r="J14" s="22"/>
    </row>
    <row r="15" spans="1:10" s="13" customFormat="1" x14ac:dyDescent="0.25">
      <c r="A15" s="16" t="s">
        <v>7</v>
      </c>
      <c r="B15" s="17"/>
      <c r="C15" s="46">
        <v>37205.199999999997</v>
      </c>
      <c r="D15" s="18"/>
      <c r="E15" s="45"/>
      <c r="F15" s="18"/>
      <c r="G15" s="18"/>
      <c r="J15" s="22"/>
    </row>
    <row r="16" spans="1:10" s="13" customFormat="1" x14ac:dyDescent="0.25">
      <c r="A16" s="16" t="s">
        <v>10</v>
      </c>
      <c r="B16" s="17"/>
      <c r="C16" s="46">
        <v>49762</v>
      </c>
      <c r="D16" s="17"/>
      <c r="E16" s="38"/>
      <c r="F16" s="17"/>
      <c r="G16" s="44"/>
      <c r="J16" s="22"/>
    </row>
    <row r="17" spans="1:12" s="13" customFormat="1" x14ac:dyDescent="0.25">
      <c r="A17" s="16" t="s">
        <v>11</v>
      </c>
      <c r="B17" s="17"/>
      <c r="C17" s="46">
        <v>47904</v>
      </c>
      <c r="D17" s="17"/>
      <c r="E17" s="38"/>
      <c r="F17" s="17"/>
      <c r="G17" s="44"/>
      <c r="J17" s="22"/>
    </row>
    <row r="18" spans="1:12" s="13" customFormat="1" x14ac:dyDescent="0.25">
      <c r="A18" s="386" t="s">
        <v>12</v>
      </c>
      <c r="B18" s="387"/>
      <c r="C18" s="388">
        <v>73633</v>
      </c>
      <c r="D18" s="387">
        <v>24</v>
      </c>
      <c r="E18" s="387">
        <v>47038.43</v>
      </c>
      <c r="F18" s="387">
        <v>26</v>
      </c>
      <c r="G18" s="389">
        <v>26594</v>
      </c>
      <c r="J18" s="22"/>
    </row>
    <row r="19" spans="1:12" s="13" customFormat="1" x14ac:dyDescent="0.25">
      <c r="A19" s="16" t="s">
        <v>13</v>
      </c>
      <c r="B19" s="17"/>
      <c r="C19" s="46">
        <v>38267</v>
      </c>
      <c r="D19" s="17"/>
      <c r="E19" s="38"/>
      <c r="F19" s="17"/>
      <c r="G19" s="44"/>
      <c r="J19" s="22"/>
    </row>
    <row r="20" spans="1:12" s="13" customFormat="1" x14ac:dyDescent="0.25">
      <c r="A20" s="16" t="s">
        <v>14</v>
      </c>
      <c r="B20" s="17"/>
      <c r="C20" s="46">
        <v>49584.4</v>
      </c>
      <c r="D20" s="17"/>
      <c r="E20" s="38"/>
      <c r="F20" s="17"/>
      <c r="G20" s="44"/>
      <c r="I20" s="22"/>
      <c r="J20" s="22"/>
      <c r="K20" s="20"/>
      <c r="L20" s="24"/>
    </row>
    <row r="21" spans="1:12" s="13" customFormat="1" x14ac:dyDescent="0.25">
      <c r="A21" s="16" t="s">
        <v>15</v>
      </c>
      <c r="B21" s="17"/>
      <c r="C21" s="46">
        <v>68798</v>
      </c>
      <c r="D21" s="17"/>
      <c r="E21" s="38"/>
      <c r="F21" s="17"/>
      <c r="G21" s="44"/>
      <c r="I21" s="22"/>
      <c r="J21" s="22"/>
      <c r="K21" s="20"/>
    </row>
    <row r="22" spans="1:12" s="13" customFormat="1" hidden="1" x14ac:dyDescent="0.25">
      <c r="A22" s="7" t="s">
        <v>19</v>
      </c>
      <c r="B22" s="3"/>
      <c r="C22" s="1"/>
      <c r="D22" s="5"/>
      <c r="E22" s="1"/>
      <c r="F22" s="5"/>
      <c r="G22" s="5"/>
      <c r="J22" s="22"/>
    </row>
    <row r="23" spans="1:12" s="15" customFormat="1" ht="14.25" x14ac:dyDescent="0.2">
      <c r="A23" s="39"/>
      <c r="B23" s="14"/>
      <c r="C23" s="4">
        <f>SUM(C6:C22)</f>
        <v>756484.1</v>
      </c>
      <c r="D23" s="14"/>
      <c r="E23" s="6"/>
      <c r="F23" s="14"/>
      <c r="G23" s="8"/>
      <c r="J23" s="9"/>
      <c r="K23" s="23"/>
    </row>
    <row r="24" spans="1:12" x14ac:dyDescent="0.25">
      <c r="A24" s="512"/>
      <c r="B24" s="512"/>
      <c r="C24" s="512"/>
      <c r="D24" s="512"/>
      <c r="E24" s="512"/>
      <c r="F24" s="512"/>
      <c r="G24" s="512"/>
    </row>
    <row r="25" spans="1:12" ht="47.25" customHeight="1" x14ac:dyDescent="0.25">
      <c r="A25" s="519" t="s">
        <v>225</v>
      </c>
      <c r="B25" s="519"/>
      <c r="C25" s="519"/>
      <c r="D25" s="519"/>
      <c r="E25" s="519"/>
      <c r="F25" s="519"/>
      <c r="G25" s="519"/>
    </row>
    <row r="26" spans="1:12" x14ac:dyDescent="0.25">
      <c r="A26" s="512" t="s">
        <v>63</v>
      </c>
      <c r="B26" s="512"/>
      <c r="C26" s="512"/>
      <c r="D26" s="512"/>
      <c r="E26" s="512"/>
      <c r="F26" s="512"/>
      <c r="G26" s="512"/>
    </row>
    <row r="27" spans="1:12" ht="33" customHeight="1" x14ac:dyDescent="0.25">
      <c r="A27" s="511" t="s">
        <v>64</v>
      </c>
      <c r="B27" s="511"/>
      <c r="C27" s="511"/>
      <c r="D27" s="511"/>
      <c r="E27" s="511"/>
      <c r="F27" s="511"/>
      <c r="G27" s="511"/>
    </row>
  </sheetData>
  <mergeCells count="11">
    <mergeCell ref="A27:G27"/>
    <mergeCell ref="A26:G26"/>
    <mergeCell ref="A1:G1"/>
    <mergeCell ref="D3:G3"/>
    <mergeCell ref="B3:B5"/>
    <mergeCell ref="C3:C5"/>
    <mergeCell ref="A3:A5"/>
    <mergeCell ref="D4:E4"/>
    <mergeCell ref="A24:G24"/>
    <mergeCell ref="F4:G4"/>
    <mergeCell ref="A25:G25"/>
  </mergeCells>
  <phoneticPr fontId="1" type="noConversion"/>
  <pageMargins left="0.68" right="0.55000000000000004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X52"/>
  <sheetViews>
    <sheetView view="pageBreakPreview" topLeftCell="A16" zoomScale="90" zoomScaleNormal="85" zoomScaleSheetLayoutView="90" workbookViewId="0">
      <selection activeCell="N47" sqref="N47"/>
    </sheetView>
  </sheetViews>
  <sheetFormatPr defaultColWidth="9.140625" defaultRowHeight="12" x14ac:dyDescent="0.25"/>
  <cols>
    <col min="1" max="1" width="4" style="27" customWidth="1"/>
    <col min="2" max="2" width="14.5703125" style="35" customWidth="1"/>
    <col min="3" max="3" width="4.28515625" style="35" customWidth="1"/>
    <col min="4" max="4" width="3.7109375" style="35" customWidth="1"/>
    <col min="5" max="5" width="7.7109375" style="33" customWidth="1"/>
    <col min="6" max="6" width="7.28515625" style="33" customWidth="1"/>
    <col min="7" max="7" width="9.5703125" style="33" hidden="1" customWidth="1"/>
    <col min="8" max="8" width="9" style="398" customWidth="1"/>
    <col min="9" max="9" width="4.7109375" style="32" customWidth="1"/>
    <col min="10" max="10" width="7.7109375" style="33" hidden="1" customWidth="1"/>
    <col min="11" max="11" width="7.5703125" style="399" customWidth="1"/>
    <col min="12" max="12" width="5.85546875" style="33" customWidth="1"/>
    <col min="13" max="13" width="10.85546875" style="33" hidden="1" customWidth="1"/>
    <col min="14" max="14" width="9.42578125" style="400" customWidth="1"/>
    <col min="15" max="15" width="4.85546875" style="420" customWidth="1"/>
    <col min="16" max="16" width="8" style="420" customWidth="1"/>
    <col min="17" max="17" width="10.85546875" style="420" hidden="1" customWidth="1"/>
    <col min="18" max="18" width="7.140625" style="33" customWidth="1"/>
    <col min="19" max="19" width="10.85546875" style="33" hidden="1" customWidth="1"/>
    <col min="20" max="20" width="10.140625" style="400" customWidth="1"/>
    <col min="21" max="21" width="7" style="33" customWidth="1"/>
    <col min="22" max="22" width="9.85546875" style="33" hidden="1" customWidth="1"/>
    <col min="23" max="23" width="5.7109375" style="424" customWidth="1"/>
    <col min="24" max="24" width="8.42578125" style="400" customWidth="1"/>
    <col min="25" max="25" width="6.7109375" style="33" customWidth="1"/>
    <col min="26" max="26" width="9" style="33" hidden="1" customWidth="1"/>
    <col min="27" max="27" width="9.7109375" style="403" customWidth="1"/>
    <col min="28" max="28" width="2.7109375" style="32" customWidth="1"/>
    <col min="29" max="29" width="10" style="33" hidden="1" customWidth="1"/>
    <col min="30" max="30" width="10" style="403" customWidth="1"/>
    <col min="31" max="31" width="2.7109375" style="32" customWidth="1"/>
    <col min="32" max="32" width="7.85546875" style="33" customWidth="1"/>
    <col min="33" max="33" width="5.5703125" style="32" customWidth="1"/>
    <col min="34" max="34" width="7.85546875" style="33" hidden="1" customWidth="1"/>
    <col min="35" max="35" width="9.28515625" style="403" customWidth="1"/>
    <col min="36" max="36" width="2.85546875" style="32" customWidth="1"/>
    <col min="37" max="37" width="8" style="33" hidden="1" customWidth="1"/>
    <col min="38" max="38" width="8.85546875" style="403" customWidth="1"/>
    <col min="39" max="39" width="4.28515625" style="32" customWidth="1"/>
    <col min="40" max="40" width="7.28515625" style="33" hidden="1" customWidth="1"/>
    <col min="41" max="41" width="4.28515625" style="403" customWidth="1"/>
    <col min="42" max="42" width="3.85546875" style="32" customWidth="1"/>
    <col min="43" max="43" width="15.7109375" style="33" hidden="1" customWidth="1"/>
    <col min="44" max="44" width="9.28515625" style="403" customWidth="1"/>
    <col min="45" max="45" width="6.7109375" style="393" customWidth="1"/>
    <col min="46" max="46" width="10.140625" style="403" customWidth="1"/>
    <col min="47" max="47" width="4.85546875" style="393" customWidth="1"/>
    <col min="48" max="48" width="4.85546875" style="426" customWidth="1"/>
    <col min="49" max="49" width="7.85546875" style="403" customWidth="1"/>
    <col min="50" max="50" width="6.28515625" style="430" customWidth="1"/>
    <col min="51" max="51" width="7.42578125" style="430" customWidth="1"/>
    <col min="52" max="52" width="8.7109375" style="422" customWidth="1"/>
    <col min="53" max="53" width="11.28515625" style="385" customWidth="1"/>
    <col min="54" max="77" width="11.85546875" style="34" hidden="1" customWidth="1"/>
    <col min="78" max="78" width="10.42578125" style="33" hidden="1" customWidth="1"/>
    <col min="79" max="79" width="9.85546875" style="33" hidden="1" customWidth="1"/>
    <col min="80" max="80" width="8.7109375" style="33" hidden="1" customWidth="1"/>
    <col min="81" max="81" width="10.5703125" style="33" hidden="1" customWidth="1"/>
    <col min="82" max="82" width="10.140625" style="33" hidden="1" customWidth="1"/>
    <col min="83" max="83" width="10.7109375" style="33" hidden="1" customWidth="1"/>
    <col min="84" max="84" width="9.42578125" style="33" hidden="1" customWidth="1"/>
    <col min="85" max="85" width="11.85546875" style="34" hidden="1" customWidth="1"/>
    <col min="86" max="86" width="11.28515625" style="384" hidden="1" customWidth="1"/>
    <col min="87" max="16384" width="9.140625" style="27"/>
  </cols>
  <sheetData>
    <row r="1" spans="1:86" s="41" customFormat="1" ht="18.75" x14ac:dyDescent="0.25">
      <c r="A1" s="555" t="s">
        <v>55</v>
      </c>
      <c r="B1" s="555"/>
      <c r="C1" s="555"/>
      <c r="D1" s="555"/>
      <c r="E1" s="555"/>
      <c r="F1" s="403"/>
      <c r="G1" s="403"/>
      <c r="H1" s="403"/>
      <c r="I1" s="32"/>
      <c r="J1" s="403"/>
      <c r="K1" s="403"/>
      <c r="L1" s="403"/>
      <c r="M1" s="403"/>
      <c r="N1" s="403"/>
      <c r="O1" s="420"/>
      <c r="P1" s="420"/>
      <c r="Q1" s="420"/>
      <c r="R1" s="403"/>
      <c r="S1" s="403"/>
      <c r="T1" s="403"/>
      <c r="U1" s="403"/>
      <c r="V1" s="403"/>
      <c r="W1" s="424"/>
      <c r="X1" s="403"/>
      <c r="Y1" s="403"/>
      <c r="Z1" s="403"/>
      <c r="AA1" s="403"/>
      <c r="AB1" s="32"/>
      <c r="AC1" s="403"/>
      <c r="AD1" s="403"/>
      <c r="AE1" s="32"/>
      <c r="AF1" s="403"/>
      <c r="AG1" s="32"/>
      <c r="AH1" s="403"/>
      <c r="AI1" s="403"/>
      <c r="AJ1" s="32"/>
      <c r="AK1" s="403"/>
      <c r="AL1" s="403"/>
      <c r="AM1" s="32"/>
      <c r="AN1" s="403"/>
      <c r="AO1" s="403"/>
      <c r="AP1" s="32"/>
      <c r="AQ1" s="403"/>
      <c r="AR1" s="403"/>
      <c r="AS1" s="554" t="s">
        <v>53</v>
      </c>
      <c r="AT1" s="554"/>
      <c r="AU1" s="554"/>
      <c r="AV1" s="554"/>
      <c r="AW1" s="554"/>
      <c r="AX1" s="554"/>
      <c r="AY1" s="554"/>
      <c r="AZ1" s="554"/>
      <c r="BA1" s="554"/>
      <c r="BB1" s="409"/>
      <c r="BC1" s="409"/>
      <c r="BD1" s="409"/>
      <c r="BE1" s="409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403"/>
      <c r="CA1" s="403"/>
      <c r="CB1" s="36"/>
      <c r="CC1" s="36"/>
      <c r="CD1" s="572" t="s">
        <v>53</v>
      </c>
      <c r="CE1" s="572"/>
      <c r="CF1" s="572"/>
      <c r="CG1" s="572"/>
      <c r="CH1" s="572"/>
    </row>
    <row r="2" spans="1:86" s="41" customFormat="1" ht="18.75" x14ac:dyDescent="0.25">
      <c r="A2" s="543" t="s">
        <v>57</v>
      </c>
      <c r="B2" s="543"/>
      <c r="C2" s="543"/>
      <c r="D2" s="543"/>
      <c r="E2" s="543"/>
      <c r="F2" s="403"/>
      <c r="G2" s="403"/>
      <c r="H2" s="403"/>
      <c r="I2" s="32"/>
      <c r="J2" s="403"/>
      <c r="K2" s="403"/>
      <c r="L2" s="403"/>
      <c r="M2" s="403"/>
      <c r="N2" s="403"/>
      <c r="O2" s="420"/>
      <c r="P2" s="420"/>
      <c r="Q2" s="420"/>
      <c r="R2" s="403"/>
      <c r="S2" s="403"/>
      <c r="T2" s="403"/>
      <c r="U2" s="403"/>
      <c r="V2" s="403"/>
      <c r="W2" s="424"/>
      <c r="X2" s="403"/>
      <c r="Y2" s="403"/>
      <c r="Z2" s="403"/>
      <c r="AA2" s="403"/>
      <c r="AB2" s="32"/>
      <c r="AC2" s="403"/>
      <c r="AD2" s="403"/>
      <c r="AE2" s="32"/>
      <c r="AF2" s="403"/>
      <c r="AG2" s="32"/>
      <c r="AH2" s="403"/>
      <c r="AI2" s="403"/>
      <c r="AJ2" s="32"/>
      <c r="AK2" s="403"/>
      <c r="AL2" s="403"/>
      <c r="AM2" s="32"/>
      <c r="AN2" s="403"/>
      <c r="AO2" s="403"/>
      <c r="AP2" s="32"/>
      <c r="AQ2" s="403"/>
      <c r="AR2" s="403"/>
      <c r="AS2" s="411"/>
      <c r="AT2" s="411"/>
      <c r="AU2" s="411"/>
      <c r="AV2" s="411"/>
      <c r="AW2" s="411"/>
      <c r="AX2" s="411"/>
      <c r="AY2" s="411"/>
      <c r="AZ2" s="411"/>
      <c r="BA2" s="412" t="s">
        <v>60</v>
      </c>
      <c r="BB2" s="412"/>
      <c r="BC2" s="412"/>
      <c r="BD2" s="412"/>
      <c r="BE2" s="412"/>
      <c r="BF2" s="412"/>
      <c r="BG2" s="412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403"/>
      <c r="CA2" s="403"/>
      <c r="CB2" s="551" t="s">
        <v>60</v>
      </c>
      <c r="CC2" s="551"/>
      <c r="CD2" s="551"/>
      <c r="CE2" s="551"/>
      <c r="CF2" s="551"/>
      <c r="CG2" s="551"/>
      <c r="CH2" s="551"/>
    </row>
    <row r="3" spans="1:86" s="41" customFormat="1" ht="36" customHeight="1" x14ac:dyDescent="0.3">
      <c r="A3" s="573" t="s">
        <v>58</v>
      </c>
      <c r="B3" s="573"/>
      <c r="C3" s="573"/>
      <c r="D3" s="573"/>
      <c r="E3" s="573"/>
      <c r="F3" s="403"/>
      <c r="G3" s="403"/>
      <c r="H3" s="403"/>
      <c r="I3" s="32"/>
      <c r="J3" s="403"/>
      <c r="K3" s="403"/>
      <c r="L3" s="403"/>
      <c r="M3" s="403"/>
      <c r="N3" s="403"/>
      <c r="O3" s="420"/>
      <c r="P3" s="420"/>
      <c r="Q3" s="420"/>
      <c r="R3" s="403"/>
      <c r="S3" s="403"/>
      <c r="T3" s="403"/>
      <c r="U3" s="403"/>
      <c r="V3" s="403"/>
      <c r="W3" s="424"/>
      <c r="X3" s="403"/>
      <c r="Y3" s="403"/>
      <c r="Z3" s="403"/>
      <c r="AA3" s="403"/>
      <c r="AB3" s="32"/>
      <c r="AC3" s="403"/>
      <c r="AD3" s="403"/>
      <c r="AE3" s="32"/>
      <c r="AF3" s="403"/>
      <c r="AG3" s="32"/>
      <c r="AH3" s="403"/>
      <c r="AI3" s="403"/>
      <c r="AJ3" s="32"/>
      <c r="AK3" s="403"/>
      <c r="AL3" s="403"/>
      <c r="AM3" s="32"/>
      <c r="AN3" s="403"/>
      <c r="AO3" s="403"/>
      <c r="AP3" s="32"/>
      <c r="AQ3" s="403"/>
      <c r="AR3" s="403"/>
      <c r="AS3" s="411"/>
      <c r="AT3" s="411"/>
      <c r="AU3" s="411"/>
      <c r="AV3" s="411"/>
      <c r="AW3" s="411"/>
      <c r="AX3" s="411"/>
      <c r="AY3" s="411"/>
      <c r="AZ3" s="411"/>
      <c r="BA3" s="413" t="s">
        <v>61</v>
      </c>
      <c r="BB3" s="413"/>
      <c r="BC3" s="413"/>
      <c r="BD3" s="413"/>
      <c r="BE3" s="413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403"/>
      <c r="CA3" s="403"/>
      <c r="CB3" s="403"/>
      <c r="CC3" s="403"/>
      <c r="CD3" s="574" t="s">
        <v>61</v>
      </c>
      <c r="CE3" s="574"/>
      <c r="CF3" s="574"/>
      <c r="CG3" s="574"/>
      <c r="CH3" s="574"/>
    </row>
    <row r="4" spans="1:86" s="41" customFormat="1" ht="18.75" x14ac:dyDescent="0.25">
      <c r="A4" s="543" t="s">
        <v>54</v>
      </c>
      <c r="B4" s="543"/>
      <c r="C4" s="543"/>
      <c r="D4" s="543"/>
      <c r="E4" s="543"/>
      <c r="F4" s="403"/>
      <c r="G4" s="403"/>
      <c r="H4" s="403"/>
      <c r="I4" s="32"/>
      <c r="J4" s="403"/>
      <c r="K4" s="403"/>
      <c r="L4" s="403"/>
      <c r="M4" s="403"/>
      <c r="N4" s="403"/>
      <c r="O4" s="420"/>
      <c r="P4" s="420"/>
      <c r="Q4" s="420"/>
      <c r="R4" s="403"/>
      <c r="S4" s="403"/>
      <c r="T4" s="403"/>
      <c r="U4" s="403"/>
      <c r="V4" s="403"/>
      <c r="W4" s="424"/>
      <c r="X4" s="403"/>
      <c r="Y4" s="403"/>
      <c r="Z4" s="403"/>
      <c r="AA4" s="403"/>
      <c r="AB4" s="32"/>
      <c r="AC4" s="403"/>
      <c r="AD4" s="403"/>
      <c r="AE4" s="32"/>
      <c r="AF4" s="403"/>
      <c r="AG4" s="32"/>
      <c r="AH4" s="403"/>
      <c r="AI4" s="403"/>
      <c r="AJ4" s="32"/>
      <c r="AK4" s="403"/>
      <c r="AL4" s="403"/>
      <c r="AM4" s="32"/>
      <c r="AN4" s="403"/>
      <c r="AO4" s="403"/>
      <c r="AP4" s="32"/>
      <c r="AQ4" s="403"/>
      <c r="AR4" s="403"/>
      <c r="AS4" s="411"/>
      <c r="AT4" s="411"/>
      <c r="AU4" s="411"/>
      <c r="AV4" s="411"/>
      <c r="AW4" s="411"/>
      <c r="AX4" s="411"/>
      <c r="AY4" s="411"/>
      <c r="AZ4" s="411"/>
      <c r="BA4" s="412" t="s">
        <v>54</v>
      </c>
      <c r="BB4" s="410"/>
      <c r="BC4" s="410"/>
      <c r="BD4" s="410"/>
      <c r="BE4" s="410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403"/>
      <c r="CA4" s="403"/>
      <c r="CB4" s="403"/>
      <c r="CC4" s="403"/>
      <c r="CD4" s="551" t="s">
        <v>54</v>
      </c>
      <c r="CE4" s="551"/>
      <c r="CF4" s="551"/>
      <c r="CG4" s="551"/>
      <c r="CH4" s="551"/>
    </row>
    <row r="5" spans="1:86" s="41" customFormat="1" ht="11.25" x14ac:dyDescent="0.25">
      <c r="A5" s="552"/>
      <c r="B5" s="552"/>
      <c r="C5" s="552"/>
      <c r="D5" s="552"/>
      <c r="E5" s="552"/>
      <c r="F5" s="403"/>
      <c r="G5" s="403"/>
      <c r="H5" s="403"/>
      <c r="I5" s="32"/>
      <c r="J5" s="403"/>
      <c r="K5" s="403"/>
      <c r="L5" s="403"/>
      <c r="M5" s="403"/>
      <c r="N5" s="403"/>
      <c r="O5" s="420"/>
      <c r="P5" s="420"/>
      <c r="Q5" s="420"/>
      <c r="R5" s="403"/>
      <c r="S5" s="403"/>
      <c r="T5" s="403"/>
      <c r="U5" s="403"/>
      <c r="V5" s="403"/>
      <c r="W5" s="424"/>
      <c r="X5" s="403"/>
      <c r="Y5" s="403"/>
      <c r="Z5" s="403"/>
      <c r="AA5" s="403"/>
      <c r="AB5" s="32"/>
      <c r="AC5" s="403"/>
      <c r="AD5" s="403"/>
      <c r="AE5" s="32"/>
      <c r="AF5" s="403"/>
      <c r="AG5" s="32"/>
      <c r="AH5" s="403"/>
      <c r="AI5" s="403"/>
      <c r="AJ5" s="32"/>
      <c r="AK5" s="403"/>
      <c r="AL5" s="403"/>
      <c r="AM5" s="32"/>
      <c r="AN5" s="403"/>
      <c r="AO5" s="403"/>
      <c r="AP5" s="32"/>
      <c r="AQ5" s="403"/>
      <c r="AR5" s="403"/>
      <c r="AS5" s="403"/>
      <c r="AT5" s="403"/>
      <c r="AU5" s="403"/>
      <c r="AV5" s="426"/>
      <c r="AW5" s="403"/>
      <c r="AX5" s="430"/>
      <c r="AY5" s="430"/>
      <c r="AZ5" s="422"/>
      <c r="BA5" s="385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403"/>
      <c r="CA5" s="403"/>
      <c r="CB5" s="403"/>
      <c r="CC5" s="403"/>
      <c r="CD5" s="553"/>
      <c r="CE5" s="553"/>
      <c r="CF5" s="553"/>
      <c r="CG5" s="553"/>
      <c r="CH5" s="553"/>
    </row>
    <row r="6" spans="1:86" s="41" customFormat="1" ht="11.25" x14ac:dyDescent="0.25">
      <c r="A6" s="552"/>
      <c r="B6" s="552"/>
      <c r="C6" s="552"/>
      <c r="D6" s="552"/>
      <c r="E6" s="552"/>
      <c r="F6" s="403"/>
      <c r="G6" s="403"/>
      <c r="H6" s="403"/>
      <c r="I6" s="32"/>
      <c r="J6" s="403"/>
      <c r="K6" s="403"/>
      <c r="L6" s="403"/>
      <c r="M6" s="403"/>
      <c r="N6" s="403"/>
      <c r="O6" s="420"/>
      <c r="P6" s="420"/>
      <c r="Q6" s="420"/>
      <c r="R6" s="403"/>
      <c r="S6" s="403"/>
      <c r="T6" s="403"/>
      <c r="U6" s="403"/>
      <c r="V6" s="403"/>
      <c r="W6" s="424"/>
      <c r="X6" s="403"/>
      <c r="Y6" s="403"/>
      <c r="Z6" s="403"/>
      <c r="AA6" s="403"/>
      <c r="AB6" s="32"/>
      <c r="AC6" s="403"/>
      <c r="AD6" s="403"/>
      <c r="AE6" s="32"/>
      <c r="AF6" s="403"/>
      <c r="AG6" s="32"/>
      <c r="AH6" s="403"/>
      <c r="AI6" s="403"/>
      <c r="AJ6" s="32"/>
      <c r="AK6" s="403"/>
      <c r="AL6" s="403"/>
      <c r="AM6" s="32"/>
      <c r="AN6" s="403"/>
      <c r="AO6" s="403"/>
      <c r="AP6" s="32"/>
      <c r="AQ6" s="403"/>
      <c r="AR6" s="403"/>
      <c r="AS6" s="403"/>
      <c r="AT6" s="403"/>
      <c r="AU6" s="403"/>
      <c r="AV6" s="426"/>
      <c r="AW6" s="403"/>
      <c r="AX6" s="430"/>
      <c r="AY6" s="430"/>
      <c r="AZ6" s="422"/>
      <c r="BA6" s="385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403"/>
      <c r="CA6" s="403"/>
      <c r="CB6" s="403"/>
      <c r="CC6" s="403"/>
      <c r="CD6" s="553"/>
      <c r="CE6" s="553"/>
      <c r="CF6" s="553"/>
      <c r="CG6" s="553"/>
      <c r="CH6" s="553"/>
    </row>
    <row r="7" spans="1:86" s="41" customFormat="1" ht="18.75" x14ac:dyDescent="0.25">
      <c r="A7" s="555" t="s">
        <v>56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</row>
    <row r="8" spans="1:86" s="41" customFormat="1" ht="18.75" x14ac:dyDescent="0.25">
      <c r="A8" s="555" t="s">
        <v>59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</row>
    <row r="9" spans="1:86" s="41" customFormat="1" ht="18.75" x14ac:dyDescent="0.25">
      <c r="A9" s="555" t="s">
        <v>237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</row>
    <row r="10" spans="1:86" s="41" customFormat="1" ht="18" customHeight="1" x14ac:dyDescent="0.25">
      <c r="A10" s="402"/>
      <c r="B10" s="35"/>
      <c r="C10" s="35"/>
      <c r="D10" s="35"/>
      <c r="E10" s="403"/>
      <c r="F10" s="403"/>
      <c r="G10" s="403"/>
      <c r="H10" s="403"/>
      <c r="I10" s="32"/>
      <c r="J10" s="403"/>
      <c r="K10" s="403"/>
      <c r="L10" s="403"/>
      <c r="M10" s="403"/>
      <c r="N10" s="403"/>
      <c r="O10" s="420"/>
      <c r="P10" s="420"/>
      <c r="Q10" s="420"/>
      <c r="R10" s="403"/>
      <c r="S10" s="403"/>
      <c r="T10" s="403"/>
      <c r="U10" s="403"/>
      <c r="V10" s="403"/>
      <c r="W10" s="424"/>
      <c r="X10" s="403"/>
      <c r="Y10" s="403"/>
      <c r="Z10" s="403"/>
      <c r="AA10" s="403"/>
      <c r="AB10" s="32"/>
      <c r="AC10" s="403"/>
      <c r="AD10" s="403"/>
      <c r="AE10" s="32"/>
      <c r="AF10" s="403"/>
      <c r="AG10" s="32"/>
      <c r="AH10" s="403"/>
      <c r="AI10" s="403"/>
      <c r="AJ10" s="32"/>
      <c r="AK10" s="403"/>
      <c r="AL10" s="403"/>
      <c r="AM10" s="32"/>
      <c r="AN10" s="403"/>
      <c r="AO10" s="403"/>
      <c r="AP10" s="32"/>
      <c r="AQ10" s="403"/>
      <c r="AR10" s="403"/>
      <c r="AS10" s="403"/>
      <c r="AT10" s="403"/>
      <c r="AU10" s="403"/>
      <c r="AV10" s="426"/>
      <c r="AW10" s="403"/>
      <c r="AX10" s="430"/>
      <c r="AY10" s="430"/>
      <c r="AZ10" s="422"/>
      <c r="BA10" s="385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403"/>
      <c r="CA10" s="403"/>
      <c r="CB10" s="403"/>
      <c r="CC10" s="403"/>
      <c r="CD10" s="403"/>
      <c r="CE10" s="403"/>
      <c r="CF10" s="403"/>
      <c r="CG10" s="34"/>
      <c r="CH10" s="384"/>
    </row>
    <row r="11" spans="1:86" s="31" customFormat="1" ht="12.75" customHeight="1" x14ac:dyDescent="0.25">
      <c r="A11" s="562" t="s">
        <v>33</v>
      </c>
      <c r="B11" s="521" t="s">
        <v>39</v>
      </c>
      <c r="C11" s="522"/>
      <c r="D11" s="523"/>
      <c r="E11" s="544" t="s">
        <v>34</v>
      </c>
      <c r="F11" s="547" t="s">
        <v>38</v>
      </c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556" t="s">
        <v>37</v>
      </c>
      <c r="CA11" s="557"/>
      <c r="CB11" s="557"/>
      <c r="CC11" s="557"/>
      <c r="CD11" s="557"/>
      <c r="CE11" s="557"/>
      <c r="CF11" s="557"/>
      <c r="CG11" s="558"/>
      <c r="CH11" s="569" t="s">
        <v>52</v>
      </c>
    </row>
    <row r="12" spans="1:86" s="31" customFormat="1" ht="8.25" customHeight="1" x14ac:dyDescent="0.25">
      <c r="A12" s="562"/>
      <c r="B12" s="524"/>
      <c r="C12" s="525"/>
      <c r="D12" s="526"/>
      <c r="E12" s="545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559"/>
      <c r="CA12" s="560"/>
      <c r="CB12" s="560"/>
      <c r="CC12" s="560"/>
      <c r="CD12" s="560"/>
      <c r="CE12" s="560"/>
      <c r="CF12" s="560"/>
      <c r="CG12" s="561"/>
      <c r="CH12" s="570"/>
    </row>
    <row r="13" spans="1:86" s="26" customFormat="1" ht="12.75" customHeight="1" x14ac:dyDescent="0.25">
      <c r="A13" s="562"/>
      <c r="B13" s="524"/>
      <c r="C13" s="525"/>
      <c r="D13" s="526"/>
      <c r="E13" s="545"/>
      <c r="F13" s="532" t="s">
        <v>35</v>
      </c>
      <c r="G13" s="538"/>
      <c r="H13" s="533"/>
      <c r="I13" s="532" t="s">
        <v>21</v>
      </c>
      <c r="J13" s="538"/>
      <c r="K13" s="533"/>
      <c r="L13" s="532" t="s">
        <v>41</v>
      </c>
      <c r="M13" s="538"/>
      <c r="N13" s="533"/>
      <c r="O13" s="532" t="s">
        <v>241</v>
      </c>
      <c r="P13" s="538"/>
      <c r="Q13" s="417"/>
      <c r="R13" s="532" t="s">
        <v>22</v>
      </c>
      <c r="S13" s="538"/>
      <c r="T13" s="533"/>
      <c r="U13" s="532" t="s">
        <v>224</v>
      </c>
      <c r="V13" s="538"/>
      <c r="W13" s="538"/>
      <c r="X13" s="533"/>
      <c r="Y13" s="532" t="s">
        <v>42</v>
      </c>
      <c r="Z13" s="538"/>
      <c r="AA13" s="533"/>
      <c r="AB13" s="532" t="s">
        <v>43</v>
      </c>
      <c r="AC13" s="538"/>
      <c r="AD13" s="533"/>
      <c r="AE13" s="532" t="s">
        <v>44</v>
      </c>
      <c r="AF13" s="533"/>
      <c r="AG13" s="532" t="s">
        <v>249</v>
      </c>
      <c r="AH13" s="538"/>
      <c r="AI13" s="533"/>
      <c r="AJ13" s="532" t="s">
        <v>45</v>
      </c>
      <c r="AK13" s="538"/>
      <c r="AL13" s="533"/>
      <c r="AM13" s="532" t="s">
        <v>32</v>
      </c>
      <c r="AN13" s="538"/>
      <c r="AO13" s="533"/>
      <c r="AP13" s="532" t="s">
        <v>46</v>
      </c>
      <c r="AQ13" s="538"/>
      <c r="AR13" s="533"/>
      <c r="AS13" s="532" t="s">
        <v>47</v>
      </c>
      <c r="AT13" s="533"/>
      <c r="AU13" s="532" t="s">
        <v>19</v>
      </c>
      <c r="AV13" s="538"/>
      <c r="AW13" s="533"/>
      <c r="AX13" s="532" t="s">
        <v>19</v>
      </c>
      <c r="AY13" s="533"/>
      <c r="AZ13" s="563" t="s">
        <v>244</v>
      </c>
      <c r="BA13" s="548" t="s">
        <v>50</v>
      </c>
      <c r="BB13" s="541" t="s">
        <v>69</v>
      </c>
      <c r="BC13" s="47"/>
      <c r="BD13" s="541" t="s">
        <v>70</v>
      </c>
      <c r="BE13" s="47"/>
      <c r="BF13" s="541" t="s">
        <v>71</v>
      </c>
      <c r="BG13" s="47"/>
      <c r="BH13" s="541" t="s">
        <v>72</v>
      </c>
      <c r="BI13" s="47"/>
      <c r="BJ13" s="541" t="s">
        <v>73</v>
      </c>
      <c r="BK13" s="47"/>
      <c r="BL13" s="541" t="s">
        <v>74</v>
      </c>
      <c r="BM13" s="47"/>
      <c r="BN13" s="541" t="s">
        <v>75</v>
      </c>
      <c r="BO13" s="47"/>
      <c r="BP13" s="541" t="s">
        <v>76</v>
      </c>
      <c r="BQ13" s="47"/>
      <c r="BR13" s="541" t="s">
        <v>77</v>
      </c>
      <c r="BS13" s="48"/>
      <c r="BT13" s="530" t="s">
        <v>80</v>
      </c>
      <c r="BU13" s="51"/>
      <c r="BV13" s="530" t="s">
        <v>78</v>
      </c>
      <c r="BW13" s="53"/>
      <c r="BX13" s="530" t="s">
        <v>79</v>
      </c>
      <c r="BY13" s="56"/>
      <c r="BZ13" s="532" t="s">
        <v>48</v>
      </c>
      <c r="CA13" s="533"/>
      <c r="CB13" s="532" t="s">
        <v>49</v>
      </c>
      <c r="CC13" s="533"/>
      <c r="CD13" s="532" t="s">
        <v>23</v>
      </c>
      <c r="CE13" s="533"/>
      <c r="CF13" s="563" t="s">
        <v>24</v>
      </c>
      <c r="CG13" s="566" t="s">
        <v>51</v>
      </c>
      <c r="CH13" s="570"/>
    </row>
    <row r="14" spans="1:86" s="26" customFormat="1" ht="62.25" customHeight="1" x14ac:dyDescent="0.25">
      <c r="A14" s="562"/>
      <c r="B14" s="524"/>
      <c r="C14" s="525"/>
      <c r="D14" s="526"/>
      <c r="E14" s="545"/>
      <c r="F14" s="534"/>
      <c r="G14" s="539"/>
      <c r="H14" s="535"/>
      <c r="I14" s="534"/>
      <c r="J14" s="539"/>
      <c r="K14" s="535"/>
      <c r="L14" s="534"/>
      <c r="M14" s="539"/>
      <c r="N14" s="535"/>
      <c r="O14" s="534"/>
      <c r="P14" s="539"/>
      <c r="Q14" s="418"/>
      <c r="R14" s="534"/>
      <c r="S14" s="539"/>
      <c r="T14" s="535"/>
      <c r="U14" s="534"/>
      <c r="V14" s="539"/>
      <c r="W14" s="539"/>
      <c r="X14" s="535"/>
      <c r="Y14" s="534"/>
      <c r="Z14" s="539"/>
      <c r="AA14" s="535"/>
      <c r="AB14" s="534"/>
      <c r="AC14" s="539"/>
      <c r="AD14" s="535"/>
      <c r="AE14" s="534"/>
      <c r="AF14" s="535"/>
      <c r="AG14" s="534"/>
      <c r="AH14" s="539"/>
      <c r="AI14" s="535"/>
      <c r="AJ14" s="534"/>
      <c r="AK14" s="539"/>
      <c r="AL14" s="535"/>
      <c r="AM14" s="534"/>
      <c r="AN14" s="539"/>
      <c r="AO14" s="535"/>
      <c r="AP14" s="534"/>
      <c r="AQ14" s="539"/>
      <c r="AR14" s="535"/>
      <c r="AS14" s="534"/>
      <c r="AT14" s="535"/>
      <c r="AU14" s="534"/>
      <c r="AV14" s="539"/>
      <c r="AW14" s="535"/>
      <c r="AX14" s="534"/>
      <c r="AY14" s="535"/>
      <c r="AZ14" s="564"/>
      <c r="BA14" s="549"/>
      <c r="BB14" s="542"/>
      <c r="BC14" s="49"/>
      <c r="BD14" s="542"/>
      <c r="BE14" s="49"/>
      <c r="BF14" s="542"/>
      <c r="BG14" s="49"/>
      <c r="BH14" s="542"/>
      <c r="BI14" s="49"/>
      <c r="BJ14" s="542"/>
      <c r="BK14" s="49"/>
      <c r="BL14" s="542"/>
      <c r="BM14" s="49"/>
      <c r="BN14" s="542"/>
      <c r="BO14" s="49"/>
      <c r="BP14" s="542"/>
      <c r="BQ14" s="49"/>
      <c r="BR14" s="542"/>
      <c r="BS14" s="50"/>
      <c r="BT14" s="531"/>
      <c r="BU14" s="52"/>
      <c r="BV14" s="531"/>
      <c r="BW14" s="54"/>
      <c r="BX14" s="531"/>
      <c r="BY14" s="57"/>
      <c r="BZ14" s="534"/>
      <c r="CA14" s="535"/>
      <c r="CB14" s="534"/>
      <c r="CC14" s="535"/>
      <c r="CD14" s="534"/>
      <c r="CE14" s="535"/>
      <c r="CF14" s="564"/>
      <c r="CG14" s="567"/>
      <c r="CH14" s="570"/>
    </row>
    <row r="15" spans="1:86" ht="51" customHeight="1" x14ac:dyDescent="0.25">
      <c r="A15" s="562"/>
      <c r="B15" s="527"/>
      <c r="C15" s="528"/>
      <c r="D15" s="529"/>
      <c r="E15" s="546"/>
      <c r="F15" s="536"/>
      <c r="G15" s="540"/>
      <c r="H15" s="537"/>
      <c r="I15" s="536"/>
      <c r="J15" s="540"/>
      <c r="K15" s="537"/>
      <c r="L15" s="536"/>
      <c r="M15" s="540"/>
      <c r="N15" s="537"/>
      <c r="O15" s="536"/>
      <c r="P15" s="540"/>
      <c r="Q15" s="419"/>
      <c r="R15" s="536"/>
      <c r="S15" s="540"/>
      <c r="T15" s="537"/>
      <c r="U15" s="536"/>
      <c r="V15" s="540"/>
      <c r="W15" s="540"/>
      <c r="X15" s="537"/>
      <c r="Y15" s="536"/>
      <c r="Z15" s="540"/>
      <c r="AA15" s="537"/>
      <c r="AB15" s="536"/>
      <c r="AC15" s="540"/>
      <c r="AD15" s="537"/>
      <c r="AE15" s="536"/>
      <c r="AF15" s="537"/>
      <c r="AG15" s="536"/>
      <c r="AH15" s="540"/>
      <c r="AI15" s="537"/>
      <c r="AJ15" s="536"/>
      <c r="AK15" s="540"/>
      <c r="AL15" s="537"/>
      <c r="AM15" s="536"/>
      <c r="AN15" s="540"/>
      <c r="AO15" s="537"/>
      <c r="AP15" s="536"/>
      <c r="AQ15" s="540"/>
      <c r="AR15" s="537"/>
      <c r="AS15" s="536"/>
      <c r="AT15" s="537"/>
      <c r="AU15" s="536"/>
      <c r="AV15" s="540"/>
      <c r="AW15" s="537"/>
      <c r="AX15" s="536"/>
      <c r="AY15" s="537"/>
      <c r="AZ15" s="565"/>
      <c r="BA15" s="550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36"/>
      <c r="CA15" s="537"/>
      <c r="CB15" s="536"/>
      <c r="CC15" s="537"/>
      <c r="CD15" s="536"/>
      <c r="CE15" s="537"/>
      <c r="CF15" s="565"/>
      <c r="CG15" s="568"/>
      <c r="CH15" s="571"/>
    </row>
    <row r="16" spans="1:86" s="392" customFormat="1" ht="33.75" x14ac:dyDescent="0.25">
      <c r="A16" s="390"/>
      <c r="B16" s="391" t="s">
        <v>227</v>
      </c>
      <c r="C16" s="394" t="s">
        <v>228</v>
      </c>
      <c r="D16" s="394" t="s">
        <v>229</v>
      </c>
      <c r="E16" s="28" t="s">
        <v>40</v>
      </c>
      <c r="F16" s="28" t="s">
        <v>25</v>
      </c>
      <c r="G16" s="28" t="s">
        <v>26</v>
      </c>
      <c r="H16" s="28" t="s">
        <v>26</v>
      </c>
      <c r="I16" s="30" t="s">
        <v>27</v>
      </c>
      <c r="J16" s="28" t="s">
        <v>26</v>
      </c>
      <c r="K16" s="28" t="s">
        <v>26</v>
      </c>
      <c r="L16" s="28" t="s">
        <v>36</v>
      </c>
      <c r="M16" s="28" t="s">
        <v>26</v>
      </c>
      <c r="N16" s="28" t="s">
        <v>26</v>
      </c>
      <c r="O16" s="28" t="s">
        <v>36</v>
      </c>
      <c r="P16" s="28" t="s">
        <v>26</v>
      </c>
      <c r="Q16" s="28"/>
      <c r="R16" s="28" t="s">
        <v>25</v>
      </c>
      <c r="S16" s="28" t="s">
        <v>26</v>
      </c>
      <c r="T16" s="28" t="s">
        <v>26</v>
      </c>
      <c r="U16" s="28" t="s">
        <v>246</v>
      </c>
      <c r="V16" s="28" t="s">
        <v>26</v>
      </c>
      <c r="W16" s="28" t="s">
        <v>245</v>
      </c>
      <c r="X16" s="28" t="s">
        <v>26</v>
      </c>
      <c r="Y16" s="28" t="s">
        <v>36</v>
      </c>
      <c r="Z16" s="28" t="s">
        <v>26</v>
      </c>
      <c r="AA16" s="28" t="s">
        <v>26</v>
      </c>
      <c r="AB16" s="30" t="s">
        <v>28</v>
      </c>
      <c r="AC16" s="28" t="s">
        <v>26</v>
      </c>
      <c r="AD16" s="28" t="s">
        <v>26</v>
      </c>
      <c r="AE16" s="30" t="s">
        <v>28</v>
      </c>
      <c r="AF16" s="28" t="s">
        <v>26</v>
      </c>
      <c r="AG16" s="30" t="s">
        <v>250</v>
      </c>
      <c r="AH16" s="28" t="s">
        <v>26</v>
      </c>
      <c r="AI16" s="28" t="s">
        <v>26</v>
      </c>
      <c r="AJ16" s="30" t="s">
        <v>28</v>
      </c>
      <c r="AK16" s="28" t="s">
        <v>26</v>
      </c>
      <c r="AL16" s="28" t="s">
        <v>26</v>
      </c>
      <c r="AM16" s="30" t="s">
        <v>28</v>
      </c>
      <c r="AN16" s="28" t="s">
        <v>26</v>
      </c>
      <c r="AO16" s="28" t="s">
        <v>26</v>
      </c>
      <c r="AP16" s="30" t="s">
        <v>29</v>
      </c>
      <c r="AQ16" s="28" t="s">
        <v>26</v>
      </c>
      <c r="AR16" s="28" t="s">
        <v>26</v>
      </c>
      <c r="AS16" s="28" t="s">
        <v>25</v>
      </c>
      <c r="AT16" s="28" t="s">
        <v>26</v>
      </c>
      <c r="AU16" s="28"/>
      <c r="AV16" s="28" t="s">
        <v>25</v>
      </c>
      <c r="AW16" s="28" t="s">
        <v>26</v>
      </c>
      <c r="AX16" s="28" t="s">
        <v>25</v>
      </c>
      <c r="AY16" s="28" t="s">
        <v>26</v>
      </c>
      <c r="AZ16" s="28"/>
      <c r="BA16" s="382" t="s">
        <v>26</v>
      </c>
      <c r="BB16" s="55" t="s">
        <v>28</v>
      </c>
      <c r="BC16" s="55" t="s">
        <v>81</v>
      </c>
      <c r="BD16" s="55" t="s">
        <v>28</v>
      </c>
      <c r="BE16" s="55" t="s">
        <v>81</v>
      </c>
      <c r="BF16" s="55" t="s">
        <v>28</v>
      </c>
      <c r="BG16" s="55" t="s">
        <v>81</v>
      </c>
      <c r="BH16" s="55" t="s">
        <v>28</v>
      </c>
      <c r="BI16" s="55" t="s">
        <v>81</v>
      </c>
      <c r="BJ16" s="55" t="s">
        <v>28</v>
      </c>
      <c r="BK16" s="55" t="s">
        <v>81</v>
      </c>
      <c r="BL16" s="55" t="s">
        <v>28</v>
      </c>
      <c r="BM16" s="55" t="s">
        <v>81</v>
      </c>
      <c r="BN16" s="55" t="s">
        <v>28</v>
      </c>
      <c r="BO16" s="55" t="s">
        <v>81</v>
      </c>
      <c r="BP16" s="55" t="s">
        <v>28</v>
      </c>
      <c r="BQ16" s="55" t="s">
        <v>81</v>
      </c>
      <c r="BR16" s="55" t="s">
        <v>28</v>
      </c>
      <c r="BS16" s="55" t="s">
        <v>81</v>
      </c>
      <c r="BT16" s="55" t="s">
        <v>28</v>
      </c>
      <c r="BU16" s="55" t="s">
        <v>81</v>
      </c>
      <c r="BV16" s="55" t="s">
        <v>28</v>
      </c>
      <c r="BW16" s="55" t="s">
        <v>81</v>
      </c>
      <c r="BX16" s="55" t="s">
        <v>28</v>
      </c>
      <c r="BY16" s="55" t="s">
        <v>81</v>
      </c>
      <c r="BZ16" s="28" t="s">
        <v>25</v>
      </c>
      <c r="CA16" s="28" t="s">
        <v>26</v>
      </c>
      <c r="CB16" s="28" t="s">
        <v>25</v>
      </c>
      <c r="CC16" s="28" t="s">
        <v>26</v>
      </c>
      <c r="CD16" s="28" t="s">
        <v>30</v>
      </c>
      <c r="CE16" s="28" t="s">
        <v>31</v>
      </c>
      <c r="CF16" s="28" t="s">
        <v>31</v>
      </c>
      <c r="CG16" s="29" t="s">
        <v>31</v>
      </c>
      <c r="CH16" s="383" t="s">
        <v>31</v>
      </c>
    </row>
    <row r="17" spans="1:86" s="380" customFormat="1" ht="12.75" x14ac:dyDescent="0.25">
      <c r="A17" s="381">
        <v>1</v>
      </c>
      <c r="B17" s="395" t="s">
        <v>226</v>
      </c>
      <c r="C17" s="396">
        <v>31</v>
      </c>
      <c r="D17" s="396"/>
      <c r="E17" s="28">
        <v>4913</v>
      </c>
      <c r="F17" s="28">
        <v>300</v>
      </c>
      <c r="G17" s="28"/>
      <c r="H17" s="28">
        <f>F17*590.61</f>
        <v>177183</v>
      </c>
      <c r="I17" s="30">
        <v>8</v>
      </c>
      <c r="J17" s="28"/>
      <c r="K17" s="28">
        <f t="shared" ref="K17:K38" si="0">I17*27000</f>
        <v>216000</v>
      </c>
      <c r="L17" s="28">
        <v>100</v>
      </c>
      <c r="M17" s="28"/>
      <c r="N17" s="28">
        <f>L17*985</f>
        <v>98500</v>
      </c>
      <c r="O17" s="28"/>
      <c r="P17" s="28"/>
      <c r="Q17" s="28"/>
      <c r="R17" s="28">
        <v>2300</v>
      </c>
      <c r="S17" s="28"/>
      <c r="T17" s="421">
        <f t="shared" ref="T17:T38" si="1">R17*419.35</f>
        <v>964505</v>
      </c>
      <c r="U17" s="28">
        <v>130</v>
      </c>
      <c r="V17" s="28"/>
      <c r="W17" s="28"/>
      <c r="X17" s="28">
        <f>U17*2000</f>
        <v>260000</v>
      </c>
      <c r="Y17" s="28">
        <v>100</v>
      </c>
      <c r="Z17" s="28"/>
      <c r="AA17" s="28">
        <f t="shared" ref="AA17:AA39" si="2">Y17*1300</f>
        <v>130000</v>
      </c>
      <c r="AB17" s="30">
        <v>0</v>
      </c>
      <c r="AC17" s="28"/>
      <c r="AD17" s="28">
        <f t="shared" ref="AD17:AD33" si="3">AB17*40000</f>
        <v>0</v>
      </c>
      <c r="AE17" s="30"/>
      <c r="AF17" s="28">
        <f t="shared" ref="AF17:AF18" si="4">AE17*90000</f>
        <v>0</v>
      </c>
      <c r="AG17" s="30"/>
      <c r="AH17" s="28"/>
      <c r="AI17" s="28"/>
      <c r="AJ17" s="30">
        <v>1</v>
      </c>
      <c r="AK17" s="28"/>
      <c r="AL17" s="28">
        <v>227000</v>
      </c>
      <c r="AM17" s="30">
        <v>0</v>
      </c>
      <c r="AN17" s="28"/>
      <c r="AO17" s="28">
        <v>0</v>
      </c>
      <c r="AP17" s="30">
        <v>14</v>
      </c>
      <c r="AQ17" s="28"/>
      <c r="AR17" s="28"/>
      <c r="AS17" s="28">
        <v>160</v>
      </c>
      <c r="AT17" s="28">
        <f t="shared" ref="AT17:AT36" si="5">AS17*2000</f>
        <v>320000</v>
      </c>
      <c r="AU17" s="28" t="s">
        <v>234</v>
      </c>
      <c r="AV17" s="28">
        <v>10</v>
      </c>
      <c r="AW17" s="28">
        <f>AV17*2000</f>
        <v>20000</v>
      </c>
      <c r="AX17" s="28"/>
      <c r="AY17" s="28"/>
      <c r="AZ17" s="28"/>
      <c r="BA17" s="382">
        <f>AW17+AT17+AL17+AA17+X17+T17+N17+K17+H17</f>
        <v>2413188</v>
      </c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8"/>
      <c r="CA17" s="28"/>
      <c r="CB17" s="28"/>
      <c r="CC17" s="28"/>
      <c r="CD17" s="28"/>
      <c r="CE17" s="28"/>
      <c r="CF17" s="28"/>
      <c r="CG17" s="382"/>
      <c r="CH17" s="383"/>
    </row>
    <row r="18" spans="1:86" s="380" customFormat="1" ht="12.75" x14ac:dyDescent="0.25">
      <c r="A18" s="390">
        <v>2</v>
      </c>
      <c r="B18" s="395" t="s">
        <v>226</v>
      </c>
      <c r="C18" s="396">
        <v>29</v>
      </c>
      <c r="D18" s="396"/>
      <c r="E18" s="28">
        <v>5445</v>
      </c>
      <c r="F18" s="28">
        <v>500</v>
      </c>
      <c r="G18" s="28"/>
      <c r="H18" s="28">
        <f t="shared" ref="H18:H39" si="6">F18*590.61</f>
        <v>295305</v>
      </c>
      <c r="I18" s="30">
        <v>0</v>
      </c>
      <c r="J18" s="28"/>
      <c r="K18" s="28">
        <f t="shared" si="0"/>
        <v>0</v>
      </c>
      <c r="L18" s="28">
        <v>100</v>
      </c>
      <c r="M18" s="28"/>
      <c r="N18" s="28">
        <f t="shared" ref="N18:N39" si="7">L18*985</f>
        <v>98500</v>
      </c>
      <c r="O18" s="28"/>
      <c r="P18" s="28"/>
      <c r="Q18" s="28"/>
      <c r="R18" s="28">
        <v>2500</v>
      </c>
      <c r="S18" s="28"/>
      <c r="T18" s="421">
        <f t="shared" si="1"/>
        <v>1048375</v>
      </c>
      <c r="U18" s="28">
        <v>100</v>
      </c>
      <c r="V18" s="28"/>
      <c r="W18" s="28"/>
      <c r="X18" s="28">
        <f t="shared" ref="X18:X36" si="8">U18*2000</f>
        <v>200000</v>
      </c>
      <c r="Y18" s="28">
        <v>120</v>
      </c>
      <c r="Z18" s="28"/>
      <c r="AA18" s="28">
        <f t="shared" si="2"/>
        <v>156000</v>
      </c>
      <c r="AB18" s="30">
        <v>1</v>
      </c>
      <c r="AC18" s="28"/>
      <c r="AD18" s="28">
        <f t="shared" si="3"/>
        <v>40000</v>
      </c>
      <c r="AE18" s="30"/>
      <c r="AF18" s="28">
        <f t="shared" si="4"/>
        <v>0</v>
      </c>
      <c r="AG18" s="30">
        <v>1</v>
      </c>
      <c r="AH18" s="28"/>
      <c r="AI18" s="28">
        <f t="shared" ref="AI18" si="9">AG18*150000</f>
        <v>150000</v>
      </c>
      <c r="AJ18" s="30">
        <v>1</v>
      </c>
      <c r="AK18" s="28"/>
      <c r="AL18" s="28">
        <v>208000</v>
      </c>
      <c r="AM18" s="30">
        <v>0</v>
      </c>
      <c r="AN18" s="28"/>
      <c r="AO18" s="28">
        <v>0</v>
      </c>
      <c r="AP18" s="30">
        <v>15</v>
      </c>
      <c r="AQ18" s="28"/>
      <c r="AR18" s="28"/>
      <c r="AS18" s="28">
        <v>210</v>
      </c>
      <c r="AT18" s="28">
        <f t="shared" si="5"/>
        <v>420000</v>
      </c>
      <c r="AU18" s="28"/>
      <c r="AV18" s="28"/>
      <c r="AW18" s="28">
        <f t="shared" ref="AW18:AW39" si="10">AV18*2000</f>
        <v>0</v>
      </c>
      <c r="AX18" s="28"/>
      <c r="AY18" s="28"/>
      <c r="AZ18" s="28"/>
      <c r="BA18" s="382">
        <f>AT18+AL18+AI18+AD18+AA18+X18+T18+N18+H18</f>
        <v>2616180</v>
      </c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8"/>
      <c r="CA18" s="28"/>
      <c r="CB18" s="28"/>
      <c r="CC18" s="28"/>
      <c r="CD18" s="28"/>
      <c r="CE18" s="28"/>
      <c r="CF18" s="28"/>
      <c r="CG18" s="382"/>
      <c r="CH18" s="383"/>
    </row>
    <row r="19" spans="1:86" s="380" customFormat="1" ht="12.75" x14ac:dyDescent="0.25">
      <c r="A19" s="390">
        <v>3</v>
      </c>
      <c r="B19" s="395" t="s">
        <v>226</v>
      </c>
      <c r="C19" s="396">
        <v>27</v>
      </c>
      <c r="D19" s="396"/>
      <c r="E19" s="28">
        <v>7960</v>
      </c>
      <c r="F19" s="28">
        <v>600</v>
      </c>
      <c r="G19" s="28"/>
      <c r="H19" s="28">
        <f t="shared" si="6"/>
        <v>354366</v>
      </c>
      <c r="I19" s="30">
        <v>0</v>
      </c>
      <c r="J19" s="28"/>
      <c r="K19" s="28">
        <f t="shared" si="0"/>
        <v>0</v>
      </c>
      <c r="L19" s="28">
        <v>0</v>
      </c>
      <c r="M19" s="28"/>
      <c r="N19" s="28">
        <f t="shared" si="7"/>
        <v>0</v>
      </c>
      <c r="O19" s="28"/>
      <c r="P19" s="28"/>
      <c r="Q19" s="28"/>
      <c r="R19" s="28">
        <v>1500</v>
      </c>
      <c r="S19" s="28"/>
      <c r="T19" s="421">
        <f t="shared" si="1"/>
        <v>629025</v>
      </c>
      <c r="U19" s="28">
        <v>50</v>
      </c>
      <c r="V19" s="28"/>
      <c r="W19" s="28"/>
      <c r="X19" s="28">
        <f t="shared" si="8"/>
        <v>100000</v>
      </c>
      <c r="Y19" s="28">
        <v>7</v>
      </c>
      <c r="Z19" s="28"/>
      <c r="AA19" s="28">
        <f t="shared" si="2"/>
        <v>9100</v>
      </c>
      <c r="AB19" s="30">
        <v>0</v>
      </c>
      <c r="AC19" s="28"/>
      <c r="AD19" s="28">
        <f t="shared" si="3"/>
        <v>0</v>
      </c>
      <c r="AE19" s="30">
        <v>1</v>
      </c>
      <c r="AF19" s="28">
        <v>80000</v>
      </c>
      <c r="AG19" s="30"/>
      <c r="AH19" s="28"/>
      <c r="AI19" s="28"/>
      <c r="AJ19" s="30"/>
      <c r="AK19" s="28"/>
      <c r="AL19" s="28">
        <f t="shared" ref="AL19" si="11">AJ19*500000</f>
        <v>0</v>
      </c>
      <c r="AM19" s="30">
        <v>0</v>
      </c>
      <c r="AN19" s="28"/>
      <c r="AO19" s="28">
        <v>0</v>
      </c>
      <c r="AP19" s="30"/>
      <c r="AQ19" s="28"/>
      <c r="AR19" s="28"/>
      <c r="AS19" s="28"/>
      <c r="AT19" s="28">
        <f t="shared" si="5"/>
        <v>0</v>
      </c>
      <c r="AU19" s="28" t="s">
        <v>234</v>
      </c>
      <c r="AV19" s="28">
        <v>10</v>
      </c>
      <c r="AW19" s="28">
        <f t="shared" si="10"/>
        <v>20000</v>
      </c>
      <c r="AX19" s="28"/>
      <c r="AY19" s="28"/>
      <c r="AZ19" s="28"/>
      <c r="BA19" s="382">
        <f>AW19+AF19+AA19+X19+T19+H19</f>
        <v>1192491</v>
      </c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8"/>
      <c r="CA19" s="28"/>
      <c r="CB19" s="28"/>
      <c r="CC19" s="28"/>
      <c r="CD19" s="28"/>
      <c r="CE19" s="28"/>
      <c r="CF19" s="28"/>
      <c r="CG19" s="382"/>
      <c r="CH19" s="383"/>
    </row>
    <row r="20" spans="1:86" s="380" customFormat="1" ht="12.75" x14ac:dyDescent="0.25">
      <c r="A20" s="390">
        <v>4</v>
      </c>
      <c r="B20" s="395" t="s">
        <v>226</v>
      </c>
      <c r="C20" s="396">
        <v>25</v>
      </c>
      <c r="D20" s="396"/>
      <c r="E20" s="28">
        <v>10394</v>
      </c>
      <c r="F20" s="28">
        <v>400</v>
      </c>
      <c r="G20" s="28"/>
      <c r="H20" s="28">
        <f t="shared" si="6"/>
        <v>236244</v>
      </c>
      <c r="I20" s="30">
        <v>0</v>
      </c>
      <c r="J20" s="28"/>
      <c r="K20" s="28">
        <f t="shared" si="0"/>
        <v>0</v>
      </c>
      <c r="L20" s="28">
        <v>90</v>
      </c>
      <c r="M20" s="28"/>
      <c r="N20" s="28">
        <f t="shared" si="7"/>
        <v>88650</v>
      </c>
      <c r="O20" s="28"/>
      <c r="P20" s="28"/>
      <c r="Q20" s="28"/>
      <c r="R20" s="28">
        <v>2000</v>
      </c>
      <c r="S20" s="28"/>
      <c r="T20" s="421">
        <f t="shared" si="1"/>
        <v>838700</v>
      </c>
      <c r="U20" s="28">
        <v>0</v>
      </c>
      <c r="V20" s="28"/>
      <c r="W20" s="28"/>
      <c r="X20" s="28">
        <f t="shared" si="8"/>
        <v>0</v>
      </c>
      <c r="Y20" s="28">
        <v>0</v>
      </c>
      <c r="Z20" s="28"/>
      <c r="AA20" s="28">
        <f t="shared" si="2"/>
        <v>0</v>
      </c>
      <c r="AB20" s="30">
        <v>0</v>
      </c>
      <c r="AC20" s="28"/>
      <c r="AD20" s="28">
        <f t="shared" si="3"/>
        <v>0</v>
      </c>
      <c r="AE20" s="30"/>
      <c r="AF20" s="28">
        <f t="shared" ref="AF20:AF37" si="12">AE20*75000</f>
        <v>0</v>
      </c>
      <c r="AG20" s="30"/>
      <c r="AH20" s="28"/>
      <c r="AI20" s="28"/>
      <c r="AJ20" s="30">
        <v>1</v>
      </c>
      <c r="AK20" s="28"/>
      <c r="AL20" s="28">
        <v>191000</v>
      </c>
      <c r="AM20" s="30">
        <v>0</v>
      </c>
      <c r="AN20" s="28"/>
      <c r="AO20" s="28">
        <v>0</v>
      </c>
      <c r="AP20" s="30">
        <v>15</v>
      </c>
      <c r="AQ20" s="28"/>
      <c r="AR20" s="28"/>
      <c r="AS20" s="28">
        <v>190</v>
      </c>
      <c r="AT20" s="28">
        <f t="shared" si="5"/>
        <v>380000</v>
      </c>
      <c r="AU20" s="28"/>
      <c r="AV20" s="28"/>
      <c r="AW20" s="28">
        <f t="shared" si="10"/>
        <v>0</v>
      </c>
      <c r="AX20" s="28"/>
      <c r="AY20" s="28"/>
      <c r="AZ20" s="28"/>
      <c r="BA20" s="382">
        <f>AT20+AL20+T20+N20+H20</f>
        <v>1734594</v>
      </c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8"/>
      <c r="CA20" s="28"/>
      <c r="CB20" s="28"/>
      <c r="CC20" s="28"/>
      <c r="CD20" s="28"/>
      <c r="CE20" s="28"/>
      <c r="CF20" s="28"/>
      <c r="CG20" s="382"/>
      <c r="CH20" s="383"/>
    </row>
    <row r="21" spans="1:86" s="380" customFormat="1" ht="12.75" x14ac:dyDescent="0.25">
      <c r="A21" s="390">
        <v>5</v>
      </c>
      <c r="B21" s="395" t="s">
        <v>226</v>
      </c>
      <c r="C21" s="396">
        <v>17</v>
      </c>
      <c r="D21" s="397" t="s">
        <v>231</v>
      </c>
      <c r="E21" s="28">
        <v>6710</v>
      </c>
      <c r="F21" s="28">
        <v>500</v>
      </c>
      <c r="G21" s="28"/>
      <c r="H21" s="28">
        <f t="shared" si="6"/>
        <v>295305</v>
      </c>
      <c r="I21" s="30">
        <v>5</v>
      </c>
      <c r="J21" s="28"/>
      <c r="K21" s="28">
        <f t="shared" si="0"/>
        <v>135000</v>
      </c>
      <c r="L21" s="28">
        <v>75</v>
      </c>
      <c r="M21" s="28"/>
      <c r="N21" s="28">
        <f t="shared" si="7"/>
        <v>73875</v>
      </c>
      <c r="O21" s="28"/>
      <c r="P21" s="28"/>
      <c r="Q21" s="28"/>
      <c r="R21" s="28">
        <v>2500</v>
      </c>
      <c r="S21" s="28"/>
      <c r="T21" s="421">
        <f t="shared" si="1"/>
        <v>1048375</v>
      </c>
      <c r="U21" s="28">
        <v>0</v>
      </c>
      <c r="V21" s="28"/>
      <c r="W21" s="28"/>
      <c r="X21" s="28">
        <f t="shared" si="8"/>
        <v>0</v>
      </c>
      <c r="Y21" s="28">
        <v>120</v>
      </c>
      <c r="Z21" s="28"/>
      <c r="AA21" s="28">
        <f t="shared" si="2"/>
        <v>156000</v>
      </c>
      <c r="AB21" s="30">
        <v>0</v>
      </c>
      <c r="AC21" s="28"/>
      <c r="AD21" s="28">
        <f t="shared" si="3"/>
        <v>0</v>
      </c>
      <c r="AE21" s="30"/>
      <c r="AF21" s="28">
        <f t="shared" si="12"/>
        <v>0</v>
      </c>
      <c r="AG21" s="30"/>
      <c r="AH21" s="28"/>
      <c r="AI21" s="28"/>
      <c r="AJ21" s="30"/>
      <c r="AK21" s="28"/>
      <c r="AL21" s="28"/>
      <c r="AM21" s="30">
        <v>0</v>
      </c>
      <c r="AN21" s="28"/>
      <c r="AO21" s="28">
        <v>0</v>
      </c>
      <c r="AP21" s="30">
        <v>16</v>
      </c>
      <c r="AQ21" s="28"/>
      <c r="AR21" s="28"/>
      <c r="AS21" s="28"/>
      <c r="AT21" s="28">
        <f t="shared" si="5"/>
        <v>0</v>
      </c>
      <c r="AU21" s="28"/>
      <c r="AV21" s="28"/>
      <c r="AW21" s="28">
        <f t="shared" si="10"/>
        <v>0</v>
      </c>
      <c r="AX21" s="28"/>
      <c r="AY21" s="28"/>
      <c r="AZ21" s="28"/>
      <c r="BA21" s="382">
        <f>AA21+T21+N21+K21+H21</f>
        <v>1708555</v>
      </c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8"/>
      <c r="CA21" s="28"/>
      <c r="CB21" s="28"/>
      <c r="CC21" s="28"/>
      <c r="CD21" s="28"/>
      <c r="CE21" s="28"/>
      <c r="CF21" s="28"/>
      <c r="CG21" s="382"/>
      <c r="CH21" s="383"/>
    </row>
    <row r="22" spans="1:86" s="380" customFormat="1" ht="12.75" x14ac:dyDescent="0.25">
      <c r="A22" s="390">
        <v>6</v>
      </c>
      <c r="B22" s="395" t="s">
        <v>226</v>
      </c>
      <c r="C22" s="396">
        <v>15</v>
      </c>
      <c r="D22" s="397" t="s">
        <v>231</v>
      </c>
      <c r="E22" s="28">
        <v>6933</v>
      </c>
      <c r="F22" s="28">
        <v>500</v>
      </c>
      <c r="G22" s="28"/>
      <c r="H22" s="28">
        <f t="shared" si="6"/>
        <v>295305</v>
      </c>
      <c r="I22" s="30">
        <v>0</v>
      </c>
      <c r="J22" s="28"/>
      <c r="K22" s="28">
        <f t="shared" si="0"/>
        <v>0</v>
      </c>
      <c r="L22" s="28">
        <v>100</v>
      </c>
      <c r="M22" s="28"/>
      <c r="N22" s="28">
        <f t="shared" si="7"/>
        <v>98500</v>
      </c>
      <c r="O22" s="28"/>
      <c r="P22" s="28"/>
      <c r="Q22" s="28"/>
      <c r="R22" s="28">
        <v>2500</v>
      </c>
      <c r="S22" s="28"/>
      <c r="T22" s="421">
        <f t="shared" si="1"/>
        <v>1048375</v>
      </c>
      <c r="U22" s="28">
        <v>0</v>
      </c>
      <c r="V22" s="28"/>
      <c r="W22" s="28"/>
      <c r="X22" s="28">
        <f t="shared" si="8"/>
        <v>0</v>
      </c>
      <c r="Y22" s="28">
        <v>110</v>
      </c>
      <c r="Z22" s="28"/>
      <c r="AA22" s="28">
        <f t="shared" si="2"/>
        <v>143000</v>
      </c>
      <c r="AB22" s="30">
        <v>0</v>
      </c>
      <c r="AC22" s="28"/>
      <c r="AD22" s="28">
        <f t="shared" si="3"/>
        <v>0</v>
      </c>
      <c r="AE22" s="30">
        <v>1</v>
      </c>
      <c r="AF22" s="28">
        <v>80000</v>
      </c>
      <c r="AG22" s="30"/>
      <c r="AH22" s="28"/>
      <c r="AI22" s="28"/>
      <c r="AJ22" s="30"/>
      <c r="AK22" s="28"/>
      <c r="AL22" s="28"/>
      <c r="AM22" s="30">
        <v>0</v>
      </c>
      <c r="AN22" s="28"/>
      <c r="AO22" s="28">
        <v>0</v>
      </c>
      <c r="AP22" s="30">
        <v>16</v>
      </c>
      <c r="AQ22" s="28"/>
      <c r="AR22" s="28"/>
      <c r="AS22" s="28"/>
      <c r="AT22" s="28">
        <f t="shared" si="5"/>
        <v>0</v>
      </c>
      <c r="AU22" s="28"/>
      <c r="AV22" s="28"/>
      <c r="AW22" s="28">
        <f t="shared" si="10"/>
        <v>0</v>
      </c>
      <c r="AX22" s="28"/>
      <c r="AY22" s="28"/>
      <c r="AZ22" s="28"/>
      <c r="BA22" s="382">
        <f>AF22+AA22+T22+N22+H22</f>
        <v>1665180</v>
      </c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8"/>
      <c r="CA22" s="28"/>
      <c r="CB22" s="28"/>
      <c r="CC22" s="28"/>
      <c r="CD22" s="28"/>
      <c r="CE22" s="28"/>
      <c r="CF22" s="28"/>
      <c r="CG22" s="382"/>
      <c r="CH22" s="383"/>
    </row>
    <row r="23" spans="1:86" s="380" customFormat="1" ht="12.75" x14ac:dyDescent="0.25">
      <c r="A23" s="390">
        <v>7</v>
      </c>
      <c r="B23" s="395" t="s">
        <v>226</v>
      </c>
      <c r="C23" s="396">
        <v>13</v>
      </c>
      <c r="D23" s="397" t="s">
        <v>231</v>
      </c>
      <c r="E23" s="28">
        <v>7294</v>
      </c>
      <c r="F23" s="28">
        <v>500</v>
      </c>
      <c r="G23" s="28"/>
      <c r="H23" s="28">
        <f t="shared" si="6"/>
        <v>295305</v>
      </c>
      <c r="I23" s="30">
        <v>0</v>
      </c>
      <c r="J23" s="28"/>
      <c r="K23" s="28">
        <f t="shared" si="0"/>
        <v>0</v>
      </c>
      <c r="L23" s="28">
        <v>100</v>
      </c>
      <c r="M23" s="28"/>
      <c r="N23" s="28">
        <f t="shared" si="7"/>
        <v>98500</v>
      </c>
      <c r="O23" s="28"/>
      <c r="P23" s="28"/>
      <c r="Q23" s="28"/>
      <c r="R23" s="28">
        <v>2500</v>
      </c>
      <c r="S23" s="28"/>
      <c r="T23" s="421">
        <f t="shared" si="1"/>
        <v>1048375</v>
      </c>
      <c r="U23" s="28">
        <v>0</v>
      </c>
      <c r="V23" s="28"/>
      <c r="W23" s="28"/>
      <c r="X23" s="28">
        <f t="shared" si="8"/>
        <v>0</v>
      </c>
      <c r="Y23" s="28">
        <v>110</v>
      </c>
      <c r="Z23" s="28"/>
      <c r="AA23" s="28">
        <f t="shared" si="2"/>
        <v>143000</v>
      </c>
      <c r="AB23" s="30">
        <v>0</v>
      </c>
      <c r="AC23" s="28"/>
      <c r="AD23" s="28">
        <f t="shared" si="3"/>
        <v>0</v>
      </c>
      <c r="AE23" s="30">
        <v>1</v>
      </c>
      <c r="AF23" s="28">
        <v>80000</v>
      </c>
      <c r="AG23" s="30"/>
      <c r="AH23" s="28"/>
      <c r="AI23" s="28"/>
      <c r="AJ23" s="30"/>
      <c r="AK23" s="28"/>
      <c r="AL23" s="28"/>
      <c r="AM23" s="30">
        <v>0</v>
      </c>
      <c r="AN23" s="28"/>
      <c r="AO23" s="28">
        <v>0</v>
      </c>
      <c r="AP23" s="30">
        <v>16</v>
      </c>
      <c r="AQ23" s="28"/>
      <c r="AR23" s="28"/>
      <c r="AS23" s="28"/>
      <c r="AT23" s="28">
        <f t="shared" si="5"/>
        <v>0</v>
      </c>
      <c r="AU23" s="28"/>
      <c r="AV23" s="28"/>
      <c r="AW23" s="28">
        <f t="shared" si="10"/>
        <v>0</v>
      </c>
      <c r="AX23" s="28"/>
      <c r="AY23" s="28"/>
      <c r="AZ23" s="28"/>
      <c r="BA23" s="382">
        <f>AF23+AA23+T23+N23+H23</f>
        <v>1665180</v>
      </c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8"/>
      <c r="CA23" s="28"/>
      <c r="CB23" s="28"/>
      <c r="CC23" s="28"/>
      <c r="CD23" s="28"/>
      <c r="CE23" s="28"/>
      <c r="CF23" s="28"/>
      <c r="CG23" s="382"/>
      <c r="CH23" s="383"/>
    </row>
    <row r="24" spans="1:86" s="380" customFormat="1" ht="12.75" x14ac:dyDescent="0.25">
      <c r="A24" s="390">
        <v>8</v>
      </c>
      <c r="B24" s="395" t="s">
        <v>226</v>
      </c>
      <c r="C24" s="396">
        <v>11</v>
      </c>
      <c r="D24" s="397" t="s">
        <v>231</v>
      </c>
      <c r="E24" s="28">
        <v>7390</v>
      </c>
      <c r="F24" s="28">
        <v>400</v>
      </c>
      <c r="G24" s="28"/>
      <c r="H24" s="28">
        <f t="shared" si="6"/>
        <v>236244</v>
      </c>
      <c r="I24" s="30">
        <v>0</v>
      </c>
      <c r="J24" s="28"/>
      <c r="K24" s="28">
        <f t="shared" si="0"/>
        <v>0</v>
      </c>
      <c r="L24" s="28">
        <v>100</v>
      </c>
      <c r="M24" s="28"/>
      <c r="N24" s="28">
        <f t="shared" si="7"/>
        <v>98500</v>
      </c>
      <c r="O24" s="28"/>
      <c r="P24" s="28"/>
      <c r="Q24" s="28"/>
      <c r="R24" s="28">
        <v>2700</v>
      </c>
      <c r="S24" s="28"/>
      <c r="T24" s="421">
        <f t="shared" si="1"/>
        <v>1132245</v>
      </c>
      <c r="U24" s="28">
        <v>0</v>
      </c>
      <c r="V24" s="28"/>
      <c r="W24" s="28"/>
      <c r="X24" s="28">
        <f t="shared" si="8"/>
        <v>0</v>
      </c>
      <c r="Y24" s="28">
        <v>110</v>
      </c>
      <c r="Z24" s="28"/>
      <c r="AA24" s="28">
        <f t="shared" si="2"/>
        <v>143000</v>
      </c>
      <c r="AB24" s="30">
        <v>0</v>
      </c>
      <c r="AC24" s="28"/>
      <c r="AD24" s="28">
        <f t="shared" si="3"/>
        <v>0</v>
      </c>
      <c r="AE24" s="30"/>
      <c r="AF24" s="28">
        <f t="shared" si="12"/>
        <v>0</v>
      </c>
      <c r="AG24" s="30"/>
      <c r="AH24" s="28"/>
      <c r="AI24" s="28"/>
      <c r="AJ24" s="30"/>
      <c r="AK24" s="28"/>
      <c r="AL24" s="28"/>
      <c r="AM24" s="30">
        <v>0</v>
      </c>
      <c r="AN24" s="28"/>
      <c r="AO24" s="28">
        <v>0</v>
      </c>
      <c r="AP24" s="30">
        <v>12</v>
      </c>
      <c r="AQ24" s="28"/>
      <c r="AR24" s="28"/>
      <c r="AS24" s="28">
        <v>20</v>
      </c>
      <c r="AT24" s="28">
        <f t="shared" si="5"/>
        <v>40000</v>
      </c>
      <c r="AU24" s="28"/>
      <c r="AV24" s="28"/>
      <c r="AW24" s="28">
        <f t="shared" si="10"/>
        <v>0</v>
      </c>
      <c r="AX24" s="28"/>
      <c r="AY24" s="28"/>
      <c r="AZ24" s="28"/>
      <c r="BA24" s="382">
        <f>AT24+AA24+T24+N24+H24</f>
        <v>1649989</v>
      </c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8"/>
      <c r="CA24" s="28"/>
      <c r="CB24" s="28"/>
      <c r="CC24" s="28"/>
      <c r="CD24" s="28"/>
      <c r="CE24" s="28"/>
      <c r="CF24" s="28"/>
      <c r="CG24" s="382"/>
      <c r="CH24" s="383"/>
    </row>
    <row r="25" spans="1:86" s="380" customFormat="1" ht="12.75" x14ac:dyDescent="0.25">
      <c r="A25" s="390">
        <v>9</v>
      </c>
      <c r="B25" s="395" t="s">
        <v>226</v>
      </c>
      <c r="C25" s="396">
        <v>7</v>
      </c>
      <c r="D25" s="396">
        <v>2</v>
      </c>
      <c r="E25" s="28">
        <v>3616</v>
      </c>
      <c r="F25" s="28">
        <v>100</v>
      </c>
      <c r="G25" s="28"/>
      <c r="H25" s="28">
        <f t="shared" si="6"/>
        <v>59061</v>
      </c>
      <c r="I25" s="30">
        <v>0</v>
      </c>
      <c r="J25" s="28"/>
      <c r="K25" s="28">
        <f t="shared" si="0"/>
        <v>0</v>
      </c>
      <c r="L25" s="28">
        <v>40</v>
      </c>
      <c r="M25" s="28"/>
      <c r="N25" s="28">
        <f t="shared" si="7"/>
        <v>39400</v>
      </c>
      <c r="O25" s="28"/>
      <c r="P25" s="28"/>
      <c r="Q25" s="28"/>
      <c r="R25" s="28">
        <v>1200</v>
      </c>
      <c r="S25" s="28"/>
      <c r="T25" s="421">
        <f t="shared" si="1"/>
        <v>503220</v>
      </c>
      <c r="U25" s="28">
        <v>0</v>
      </c>
      <c r="V25" s="28"/>
      <c r="W25" s="28"/>
      <c r="X25" s="28">
        <f t="shared" si="8"/>
        <v>0</v>
      </c>
      <c r="Y25" s="28">
        <v>130</v>
      </c>
      <c r="Z25" s="28"/>
      <c r="AA25" s="28">
        <f t="shared" si="2"/>
        <v>169000</v>
      </c>
      <c r="AB25" s="30">
        <v>0</v>
      </c>
      <c r="AC25" s="28"/>
      <c r="AD25" s="28">
        <f t="shared" si="3"/>
        <v>0</v>
      </c>
      <c r="AE25" s="30"/>
      <c r="AF25" s="28">
        <f t="shared" si="12"/>
        <v>0</v>
      </c>
      <c r="AG25" s="30"/>
      <c r="AH25" s="28"/>
      <c r="AI25" s="28"/>
      <c r="AJ25" s="30">
        <v>1</v>
      </c>
      <c r="AK25" s="28"/>
      <c r="AL25" s="28">
        <v>175000</v>
      </c>
      <c r="AM25" s="30">
        <v>0</v>
      </c>
      <c r="AN25" s="28"/>
      <c r="AO25" s="28">
        <v>0</v>
      </c>
      <c r="AP25" s="30">
        <v>17</v>
      </c>
      <c r="AQ25" s="28"/>
      <c r="AR25" s="28"/>
      <c r="AS25" s="28">
        <v>120</v>
      </c>
      <c r="AT25" s="28">
        <f t="shared" si="5"/>
        <v>240000</v>
      </c>
      <c r="AU25" s="28"/>
      <c r="AV25" s="28"/>
      <c r="AW25" s="28">
        <f t="shared" si="10"/>
        <v>0</v>
      </c>
      <c r="AX25" s="28"/>
      <c r="AY25" s="28"/>
      <c r="AZ25" s="28"/>
      <c r="BA25" s="382">
        <f>AT25+AL25+AA25+T25+N25+H25</f>
        <v>1185681</v>
      </c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8"/>
      <c r="CA25" s="28"/>
      <c r="CB25" s="28"/>
      <c r="CC25" s="28"/>
      <c r="CD25" s="28"/>
      <c r="CE25" s="28"/>
      <c r="CF25" s="28"/>
      <c r="CG25" s="382"/>
      <c r="CH25" s="383"/>
    </row>
    <row r="26" spans="1:86" s="380" customFormat="1" ht="12.75" x14ac:dyDescent="0.25">
      <c r="A26" s="390">
        <v>10</v>
      </c>
      <c r="B26" s="395" t="s">
        <v>226</v>
      </c>
      <c r="C26" s="396">
        <v>5</v>
      </c>
      <c r="D26" s="396">
        <v>2</v>
      </c>
      <c r="E26" s="28">
        <v>3806</v>
      </c>
      <c r="F26" s="28">
        <v>200</v>
      </c>
      <c r="G26" s="28"/>
      <c r="H26" s="28">
        <f t="shared" si="6"/>
        <v>118122</v>
      </c>
      <c r="I26" s="30">
        <v>0</v>
      </c>
      <c r="J26" s="28"/>
      <c r="K26" s="28">
        <f t="shared" si="0"/>
        <v>0</v>
      </c>
      <c r="L26" s="28">
        <v>40</v>
      </c>
      <c r="M26" s="28"/>
      <c r="N26" s="28">
        <f t="shared" si="7"/>
        <v>39400</v>
      </c>
      <c r="O26" s="28"/>
      <c r="P26" s="28"/>
      <c r="Q26" s="28"/>
      <c r="R26" s="28">
        <v>1200</v>
      </c>
      <c r="S26" s="28"/>
      <c r="T26" s="421">
        <f t="shared" si="1"/>
        <v>503220</v>
      </c>
      <c r="U26" s="28">
        <v>60</v>
      </c>
      <c r="V26" s="28"/>
      <c r="W26" s="28"/>
      <c r="X26" s="28">
        <f t="shared" si="8"/>
        <v>120000</v>
      </c>
      <c r="Y26" s="28">
        <v>110</v>
      </c>
      <c r="Z26" s="28"/>
      <c r="AA26" s="28">
        <f t="shared" si="2"/>
        <v>143000</v>
      </c>
      <c r="AB26" s="30">
        <v>0</v>
      </c>
      <c r="AC26" s="28"/>
      <c r="AD26" s="28">
        <f t="shared" si="3"/>
        <v>0</v>
      </c>
      <c r="AE26" s="30"/>
      <c r="AF26" s="28">
        <f t="shared" si="12"/>
        <v>0</v>
      </c>
      <c r="AG26" s="30"/>
      <c r="AH26" s="28"/>
      <c r="AI26" s="28"/>
      <c r="AJ26" s="30">
        <v>1</v>
      </c>
      <c r="AK26" s="28"/>
      <c r="AL26" s="28">
        <v>75000</v>
      </c>
      <c r="AM26" s="30">
        <v>0</v>
      </c>
      <c r="AN26" s="28"/>
      <c r="AO26" s="28">
        <v>0</v>
      </c>
      <c r="AP26" s="30">
        <v>14</v>
      </c>
      <c r="AQ26" s="28"/>
      <c r="AR26" s="28"/>
      <c r="AS26" s="28">
        <v>430</v>
      </c>
      <c r="AT26" s="28">
        <f t="shared" si="5"/>
        <v>860000</v>
      </c>
      <c r="AU26" s="28" t="s">
        <v>233</v>
      </c>
      <c r="AV26" s="28">
        <v>20</v>
      </c>
      <c r="AW26" s="28">
        <f t="shared" si="10"/>
        <v>40000</v>
      </c>
      <c r="AX26" s="28"/>
      <c r="AY26" s="28"/>
      <c r="AZ26" s="28"/>
      <c r="BA26" s="382">
        <f>AW26+AT26+AL26+AA26+X26+T26+N26+H26</f>
        <v>1898742</v>
      </c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8"/>
      <c r="CA26" s="28"/>
      <c r="CB26" s="28"/>
      <c r="CC26" s="28"/>
      <c r="CD26" s="28"/>
      <c r="CE26" s="28"/>
      <c r="CF26" s="28"/>
      <c r="CG26" s="382"/>
      <c r="CH26" s="383"/>
    </row>
    <row r="27" spans="1:86" s="380" customFormat="1" ht="22.5" x14ac:dyDescent="0.25">
      <c r="A27" s="390">
        <v>11</v>
      </c>
      <c r="B27" s="395" t="s">
        <v>230</v>
      </c>
      <c r="C27" s="396">
        <v>11</v>
      </c>
      <c r="D27" s="396"/>
      <c r="E27" s="28">
        <v>4993</v>
      </c>
      <c r="F27" s="28">
        <v>300</v>
      </c>
      <c r="G27" s="28"/>
      <c r="H27" s="28">
        <f t="shared" si="6"/>
        <v>177183</v>
      </c>
      <c r="I27" s="30">
        <v>0</v>
      </c>
      <c r="J27" s="28"/>
      <c r="K27" s="28">
        <f t="shared" si="0"/>
        <v>0</v>
      </c>
      <c r="L27" s="28">
        <v>50</v>
      </c>
      <c r="M27" s="28"/>
      <c r="N27" s="28">
        <f t="shared" si="7"/>
        <v>49250</v>
      </c>
      <c r="O27" s="28"/>
      <c r="P27" s="28"/>
      <c r="Q27" s="28"/>
      <c r="R27" s="28">
        <v>900</v>
      </c>
      <c r="S27" s="28"/>
      <c r="T27" s="421">
        <f t="shared" si="1"/>
        <v>377415</v>
      </c>
      <c r="U27" s="28">
        <v>0</v>
      </c>
      <c r="V27" s="28"/>
      <c r="W27" s="28"/>
      <c r="X27" s="28">
        <f t="shared" si="8"/>
        <v>0</v>
      </c>
      <c r="Y27" s="28">
        <v>0</v>
      </c>
      <c r="Z27" s="28"/>
      <c r="AA27" s="28">
        <f t="shared" si="2"/>
        <v>0</v>
      </c>
      <c r="AB27" s="30">
        <v>0</v>
      </c>
      <c r="AC27" s="28"/>
      <c r="AD27" s="28">
        <f t="shared" si="3"/>
        <v>0</v>
      </c>
      <c r="AE27" s="30"/>
      <c r="AF27" s="28">
        <f t="shared" si="12"/>
        <v>0</v>
      </c>
      <c r="AG27" s="30"/>
      <c r="AH27" s="28"/>
      <c r="AI27" s="28"/>
      <c r="AJ27" s="30"/>
      <c r="AK27" s="28"/>
      <c r="AL27" s="28"/>
      <c r="AM27" s="30">
        <v>0</v>
      </c>
      <c r="AN27" s="28"/>
      <c r="AO27" s="28">
        <v>0</v>
      </c>
      <c r="AP27" s="30"/>
      <c r="AQ27" s="28"/>
      <c r="AR27" s="28"/>
      <c r="AS27" s="28"/>
      <c r="AT27" s="28">
        <f t="shared" si="5"/>
        <v>0</v>
      </c>
      <c r="AU27" s="28" t="s">
        <v>235</v>
      </c>
      <c r="AV27" s="28">
        <v>15</v>
      </c>
      <c r="AW27" s="28">
        <f t="shared" si="10"/>
        <v>30000</v>
      </c>
      <c r="AX27" s="28"/>
      <c r="AY27" s="28"/>
      <c r="AZ27" s="28"/>
      <c r="BA27" s="382">
        <f>AW27+T27+N27+H27</f>
        <v>633848</v>
      </c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8"/>
      <c r="CA27" s="28"/>
      <c r="CB27" s="28"/>
      <c r="CC27" s="28"/>
      <c r="CD27" s="28"/>
      <c r="CE27" s="28"/>
      <c r="CF27" s="28"/>
      <c r="CG27" s="382"/>
      <c r="CH27" s="383"/>
    </row>
    <row r="28" spans="1:86" s="380" customFormat="1" ht="12.75" x14ac:dyDescent="0.25">
      <c r="A28" s="390">
        <v>12</v>
      </c>
      <c r="B28" s="395" t="s">
        <v>230</v>
      </c>
      <c r="C28" s="396">
        <v>15</v>
      </c>
      <c r="D28" s="396"/>
      <c r="E28" s="28">
        <v>3864</v>
      </c>
      <c r="F28" s="28">
        <v>400</v>
      </c>
      <c r="G28" s="28"/>
      <c r="H28" s="28">
        <f t="shared" si="6"/>
        <v>236244</v>
      </c>
      <c r="I28" s="30">
        <v>0</v>
      </c>
      <c r="J28" s="28"/>
      <c r="K28" s="28">
        <f t="shared" si="0"/>
        <v>0</v>
      </c>
      <c r="L28" s="28">
        <v>80</v>
      </c>
      <c r="M28" s="28"/>
      <c r="N28" s="28">
        <f t="shared" si="7"/>
        <v>78800</v>
      </c>
      <c r="O28" s="28"/>
      <c r="P28" s="28"/>
      <c r="Q28" s="28"/>
      <c r="R28" s="28">
        <v>700</v>
      </c>
      <c r="S28" s="28"/>
      <c r="T28" s="421">
        <f t="shared" si="1"/>
        <v>293545</v>
      </c>
      <c r="U28" s="28">
        <v>0</v>
      </c>
      <c r="V28" s="28"/>
      <c r="W28" s="28"/>
      <c r="X28" s="28">
        <f t="shared" si="8"/>
        <v>0</v>
      </c>
      <c r="Y28" s="28">
        <v>0</v>
      </c>
      <c r="Z28" s="28"/>
      <c r="AA28" s="28">
        <f t="shared" si="2"/>
        <v>0</v>
      </c>
      <c r="AB28" s="30">
        <v>0</v>
      </c>
      <c r="AC28" s="28"/>
      <c r="AD28" s="28">
        <f t="shared" si="3"/>
        <v>0</v>
      </c>
      <c r="AE28" s="30"/>
      <c r="AF28" s="28">
        <f t="shared" si="12"/>
        <v>0</v>
      </c>
      <c r="AG28" s="30"/>
      <c r="AH28" s="28"/>
      <c r="AI28" s="28"/>
      <c r="AJ28" s="30"/>
      <c r="AK28" s="28"/>
      <c r="AL28" s="28"/>
      <c r="AM28" s="30">
        <v>0</v>
      </c>
      <c r="AN28" s="28"/>
      <c r="AO28" s="28">
        <v>0</v>
      </c>
      <c r="AP28" s="30"/>
      <c r="AQ28" s="28"/>
      <c r="AR28" s="28"/>
      <c r="AS28" s="28"/>
      <c r="AT28" s="28">
        <f t="shared" si="5"/>
        <v>0</v>
      </c>
      <c r="AU28" s="28"/>
      <c r="AV28" s="28"/>
      <c r="AW28" s="28">
        <f t="shared" si="10"/>
        <v>0</v>
      </c>
      <c r="AX28" s="28"/>
      <c r="AY28" s="28"/>
      <c r="AZ28" s="28"/>
      <c r="BA28" s="382">
        <f>T28+N28+H28</f>
        <v>608589</v>
      </c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8"/>
      <c r="CA28" s="28"/>
      <c r="CB28" s="28"/>
      <c r="CC28" s="28"/>
      <c r="CD28" s="28"/>
      <c r="CE28" s="28"/>
      <c r="CF28" s="28"/>
      <c r="CG28" s="382"/>
      <c r="CH28" s="383"/>
    </row>
    <row r="29" spans="1:86" s="380" customFormat="1" ht="12.75" x14ac:dyDescent="0.25">
      <c r="A29" s="390">
        <v>13</v>
      </c>
      <c r="B29" s="395" t="s">
        <v>230</v>
      </c>
      <c r="C29" s="396">
        <v>7</v>
      </c>
      <c r="D29" s="396"/>
      <c r="E29" s="28">
        <v>5094</v>
      </c>
      <c r="F29" s="28">
        <v>600</v>
      </c>
      <c r="G29" s="28"/>
      <c r="H29" s="28">
        <f t="shared" si="6"/>
        <v>354366</v>
      </c>
      <c r="I29" s="30">
        <v>0</v>
      </c>
      <c r="J29" s="28"/>
      <c r="K29" s="28">
        <f t="shared" si="0"/>
        <v>0</v>
      </c>
      <c r="L29" s="28">
        <v>90</v>
      </c>
      <c r="M29" s="28"/>
      <c r="N29" s="28">
        <f t="shared" si="7"/>
        <v>88650</v>
      </c>
      <c r="O29" s="28"/>
      <c r="P29" s="28"/>
      <c r="Q29" s="28"/>
      <c r="R29" s="28">
        <v>2500</v>
      </c>
      <c r="S29" s="28"/>
      <c r="T29" s="421">
        <f t="shared" si="1"/>
        <v>1048375</v>
      </c>
      <c r="U29" s="28">
        <v>0</v>
      </c>
      <c r="V29" s="28"/>
      <c r="W29" s="28"/>
      <c r="X29" s="28">
        <f t="shared" si="8"/>
        <v>0</v>
      </c>
      <c r="Y29" s="28">
        <v>150</v>
      </c>
      <c r="Z29" s="28"/>
      <c r="AA29" s="28">
        <f t="shared" si="2"/>
        <v>195000</v>
      </c>
      <c r="AB29" s="30">
        <v>0</v>
      </c>
      <c r="AC29" s="28"/>
      <c r="AD29" s="28">
        <f t="shared" si="3"/>
        <v>0</v>
      </c>
      <c r="AE29" s="30"/>
      <c r="AF29" s="28">
        <f t="shared" si="12"/>
        <v>0</v>
      </c>
      <c r="AG29" s="30"/>
      <c r="AH29" s="28"/>
      <c r="AI29" s="28"/>
      <c r="AJ29" s="30"/>
      <c r="AK29" s="28"/>
      <c r="AL29" s="28"/>
      <c r="AM29" s="30">
        <v>0</v>
      </c>
      <c r="AN29" s="28"/>
      <c r="AO29" s="28">
        <v>0</v>
      </c>
      <c r="AP29" s="30">
        <v>16</v>
      </c>
      <c r="AQ29" s="28"/>
      <c r="AR29" s="28"/>
      <c r="AS29" s="28"/>
      <c r="AT29" s="28">
        <f t="shared" si="5"/>
        <v>0</v>
      </c>
      <c r="AU29" s="28"/>
      <c r="AV29" s="28"/>
      <c r="AW29" s="28">
        <f t="shared" si="10"/>
        <v>0</v>
      </c>
      <c r="AX29" s="28"/>
      <c r="AY29" s="28"/>
      <c r="AZ29" s="28"/>
      <c r="BA29" s="382">
        <f>AA29+T29+N29+H29</f>
        <v>1686391</v>
      </c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8"/>
      <c r="CA29" s="28"/>
      <c r="CB29" s="28"/>
      <c r="CC29" s="28"/>
      <c r="CD29" s="28"/>
      <c r="CE29" s="28"/>
      <c r="CF29" s="28"/>
      <c r="CG29" s="382"/>
      <c r="CH29" s="383"/>
    </row>
    <row r="30" spans="1:86" s="43" customFormat="1" ht="12.75" x14ac:dyDescent="0.25">
      <c r="A30" s="390">
        <v>14</v>
      </c>
      <c r="B30" s="395" t="s">
        <v>230</v>
      </c>
      <c r="C30" s="396">
        <v>9</v>
      </c>
      <c r="D30" s="396"/>
      <c r="E30" s="28">
        <v>7381</v>
      </c>
      <c r="F30" s="28">
        <v>600</v>
      </c>
      <c r="G30" s="28"/>
      <c r="H30" s="28">
        <f t="shared" si="6"/>
        <v>354366</v>
      </c>
      <c r="I30" s="30">
        <v>0</v>
      </c>
      <c r="J30" s="28"/>
      <c r="K30" s="28">
        <f t="shared" si="0"/>
        <v>0</v>
      </c>
      <c r="L30" s="28">
        <v>80</v>
      </c>
      <c r="M30" s="28"/>
      <c r="N30" s="28">
        <f t="shared" si="7"/>
        <v>78800</v>
      </c>
      <c r="O30" s="28"/>
      <c r="P30" s="28"/>
      <c r="Q30" s="28"/>
      <c r="R30" s="28">
        <v>2500</v>
      </c>
      <c r="S30" s="28"/>
      <c r="T30" s="421">
        <f t="shared" si="1"/>
        <v>1048375</v>
      </c>
      <c r="U30" s="28">
        <v>0</v>
      </c>
      <c r="V30" s="28"/>
      <c r="W30" s="28"/>
      <c r="X30" s="28">
        <f t="shared" si="8"/>
        <v>0</v>
      </c>
      <c r="Y30" s="28">
        <v>130</v>
      </c>
      <c r="Z30" s="28"/>
      <c r="AA30" s="28">
        <f t="shared" si="2"/>
        <v>169000</v>
      </c>
      <c r="AB30" s="30">
        <v>0</v>
      </c>
      <c r="AC30" s="28"/>
      <c r="AD30" s="28">
        <f t="shared" si="3"/>
        <v>0</v>
      </c>
      <c r="AE30" s="30"/>
      <c r="AF30" s="28">
        <f t="shared" si="12"/>
        <v>0</v>
      </c>
      <c r="AG30" s="30"/>
      <c r="AH30" s="28"/>
      <c r="AI30" s="28"/>
      <c r="AJ30" s="30"/>
      <c r="AK30" s="28"/>
      <c r="AL30" s="28"/>
      <c r="AM30" s="30">
        <v>0</v>
      </c>
      <c r="AN30" s="28"/>
      <c r="AO30" s="28">
        <v>0</v>
      </c>
      <c r="AP30" s="30">
        <v>12</v>
      </c>
      <c r="AQ30" s="28"/>
      <c r="AR30" s="28"/>
      <c r="AS30" s="28">
        <v>276</v>
      </c>
      <c r="AT30" s="28">
        <f t="shared" si="5"/>
        <v>552000</v>
      </c>
      <c r="AU30" s="28"/>
      <c r="AV30" s="28"/>
      <c r="AW30" s="28">
        <f t="shared" si="10"/>
        <v>0</v>
      </c>
      <c r="AX30" s="28"/>
      <c r="AY30" s="28"/>
      <c r="AZ30" s="28"/>
      <c r="BA30" s="382">
        <f>AT30+AA30+T30+N30+H30</f>
        <v>2202541</v>
      </c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8"/>
      <c r="CA30" s="28"/>
      <c r="CB30" s="28"/>
      <c r="CC30" s="28"/>
      <c r="CD30" s="28"/>
      <c r="CE30" s="28"/>
      <c r="CF30" s="28"/>
      <c r="CG30" s="382"/>
      <c r="CH30" s="383"/>
    </row>
    <row r="31" spans="1:86" s="380" customFormat="1" ht="12.75" x14ac:dyDescent="0.25">
      <c r="A31" s="390">
        <v>15</v>
      </c>
      <c r="B31" s="395" t="s">
        <v>232</v>
      </c>
      <c r="C31" s="396">
        <v>14</v>
      </c>
      <c r="D31" s="396"/>
      <c r="E31" s="28">
        <v>6167</v>
      </c>
      <c r="F31" s="28">
        <v>800</v>
      </c>
      <c r="G31" s="28"/>
      <c r="H31" s="28">
        <f t="shared" si="6"/>
        <v>472488</v>
      </c>
      <c r="I31" s="30">
        <v>0</v>
      </c>
      <c r="J31" s="28"/>
      <c r="K31" s="28">
        <f t="shared" si="0"/>
        <v>0</v>
      </c>
      <c r="L31" s="28">
        <v>80</v>
      </c>
      <c r="M31" s="28"/>
      <c r="N31" s="28">
        <f t="shared" si="7"/>
        <v>78800</v>
      </c>
      <c r="O31" s="28"/>
      <c r="P31" s="28"/>
      <c r="Q31" s="28"/>
      <c r="R31" s="28">
        <v>2500</v>
      </c>
      <c r="S31" s="28"/>
      <c r="T31" s="421">
        <f t="shared" si="1"/>
        <v>1048375</v>
      </c>
      <c r="U31" s="28"/>
      <c r="V31" s="28"/>
      <c r="W31" s="28">
        <v>24</v>
      </c>
      <c r="X31" s="28">
        <v>48000</v>
      </c>
      <c r="Y31" s="28">
        <v>100</v>
      </c>
      <c r="Z31" s="28"/>
      <c r="AA31" s="28">
        <f t="shared" si="2"/>
        <v>130000</v>
      </c>
      <c r="AB31" s="30"/>
      <c r="AC31" s="28"/>
      <c r="AD31" s="28">
        <f t="shared" si="3"/>
        <v>0</v>
      </c>
      <c r="AE31" s="30"/>
      <c r="AF31" s="28">
        <f t="shared" si="12"/>
        <v>0</v>
      </c>
      <c r="AG31" s="30"/>
      <c r="AH31" s="28"/>
      <c r="AI31" s="28"/>
      <c r="AJ31" s="30">
        <v>1</v>
      </c>
      <c r="AK31" s="28"/>
      <c r="AL31" s="28">
        <v>164000</v>
      </c>
      <c r="AM31" s="30">
        <v>0</v>
      </c>
      <c r="AN31" s="28"/>
      <c r="AO31" s="28">
        <v>0</v>
      </c>
      <c r="AP31" s="30">
        <v>12</v>
      </c>
      <c r="AQ31" s="28"/>
      <c r="AR31" s="28"/>
      <c r="AS31" s="28">
        <v>240</v>
      </c>
      <c r="AT31" s="28">
        <f t="shared" si="5"/>
        <v>480000</v>
      </c>
      <c r="AU31" s="28"/>
      <c r="AV31" s="28"/>
      <c r="AW31" s="28">
        <f t="shared" si="10"/>
        <v>0</v>
      </c>
      <c r="AX31" s="28"/>
      <c r="AY31" s="28"/>
      <c r="AZ31" s="28"/>
      <c r="BA31" s="382">
        <f>AT31+AL31+AA31+X31+T31+N31+H31</f>
        <v>2421663</v>
      </c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8"/>
      <c r="CA31" s="28"/>
      <c r="CB31" s="28"/>
      <c r="CC31" s="28"/>
      <c r="CD31" s="28"/>
      <c r="CE31" s="28"/>
      <c r="CF31" s="28"/>
      <c r="CG31" s="382"/>
      <c r="CH31" s="383"/>
    </row>
    <row r="32" spans="1:86" s="380" customFormat="1" ht="78.75" x14ac:dyDescent="0.25">
      <c r="A32" s="390">
        <v>16</v>
      </c>
      <c r="B32" s="395" t="s">
        <v>232</v>
      </c>
      <c r="C32" s="396">
        <v>14</v>
      </c>
      <c r="D32" s="396">
        <v>2</v>
      </c>
      <c r="E32" s="28">
        <v>3878</v>
      </c>
      <c r="F32" s="28">
        <v>500</v>
      </c>
      <c r="G32" s="28"/>
      <c r="H32" s="28">
        <f t="shared" si="6"/>
        <v>295305</v>
      </c>
      <c r="I32" s="30">
        <v>6</v>
      </c>
      <c r="J32" s="28"/>
      <c r="K32" s="28">
        <f t="shared" si="0"/>
        <v>162000</v>
      </c>
      <c r="L32" s="28">
        <v>70</v>
      </c>
      <c r="M32" s="28"/>
      <c r="N32" s="28">
        <f t="shared" si="7"/>
        <v>68950</v>
      </c>
      <c r="O32" s="28"/>
      <c r="P32" s="28"/>
      <c r="Q32" s="28"/>
      <c r="R32" s="28">
        <v>600</v>
      </c>
      <c r="S32" s="28"/>
      <c r="T32" s="421">
        <f t="shared" si="1"/>
        <v>251610</v>
      </c>
      <c r="U32" s="28">
        <v>0</v>
      </c>
      <c r="V32" s="28"/>
      <c r="W32" s="28"/>
      <c r="X32" s="28">
        <f t="shared" si="8"/>
        <v>0</v>
      </c>
      <c r="Y32" s="28">
        <v>0</v>
      </c>
      <c r="Z32" s="28"/>
      <c r="AA32" s="28">
        <f t="shared" si="2"/>
        <v>0</v>
      </c>
      <c r="AB32" s="30"/>
      <c r="AC32" s="28"/>
      <c r="AD32" s="28">
        <f t="shared" si="3"/>
        <v>0</v>
      </c>
      <c r="AE32" s="30"/>
      <c r="AF32" s="28">
        <f t="shared" si="12"/>
        <v>0</v>
      </c>
      <c r="AG32" s="30"/>
      <c r="AH32" s="28"/>
      <c r="AI32" s="28"/>
      <c r="AJ32" s="30">
        <v>1</v>
      </c>
      <c r="AK32" s="28"/>
      <c r="AL32" s="28">
        <v>113000</v>
      </c>
      <c r="AM32" s="30">
        <v>0</v>
      </c>
      <c r="AN32" s="28"/>
      <c r="AO32" s="28">
        <v>0</v>
      </c>
      <c r="AP32" s="30">
        <v>9</v>
      </c>
      <c r="AQ32" s="28"/>
      <c r="AR32" s="28"/>
      <c r="AS32" s="28">
        <v>122</v>
      </c>
      <c r="AT32" s="28">
        <f t="shared" si="5"/>
        <v>244000</v>
      </c>
      <c r="AU32" s="28" t="s">
        <v>248</v>
      </c>
      <c r="AV32" s="28">
        <v>50.16</v>
      </c>
      <c r="AW32" s="28">
        <v>50000</v>
      </c>
      <c r="AX32" s="28" t="s">
        <v>251</v>
      </c>
      <c r="AY32" s="28">
        <v>200000</v>
      </c>
      <c r="AZ32" s="28"/>
      <c r="BA32" s="382">
        <f>AY32+AW32+AT32+AL32+T32+N32+K32+H32</f>
        <v>1384865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8"/>
      <c r="CA32" s="28"/>
      <c r="CB32" s="28"/>
      <c r="CC32" s="28"/>
      <c r="CD32" s="28"/>
      <c r="CE32" s="28"/>
      <c r="CF32" s="28"/>
      <c r="CG32" s="382"/>
      <c r="CH32" s="383"/>
    </row>
    <row r="33" spans="1:336" s="43" customFormat="1" ht="12.75" x14ac:dyDescent="0.25">
      <c r="A33" s="390">
        <v>18</v>
      </c>
      <c r="B33" s="395" t="s">
        <v>232</v>
      </c>
      <c r="C33" s="396">
        <v>6</v>
      </c>
      <c r="D33" s="396"/>
      <c r="E33" s="28">
        <v>9199</v>
      </c>
      <c r="F33" s="28">
        <v>300</v>
      </c>
      <c r="G33" s="28"/>
      <c r="H33" s="28">
        <f t="shared" si="6"/>
        <v>177183</v>
      </c>
      <c r="I33" s="30">
        <v>0</v>
      </c>
      <c r="J33" s="28"/>
      <c r="K33" s="28">
        <f t="shared" si="0"/>
        <v>0</v>
      </c>
      <c r="L33" s="28">
        <v>0</v>
      </c>
      <c r="M33" s="28"/>
      <c r="N33" s="28">
        <f t="shared" si="7"/>
        <v>0</v>
      </c>
      <c r="O33" s="28"/>
      <c r="P33" s="28"/>
      <c r="Q33" s="28"/>
      <c r="R33" s="28">
        <v>700</v>
      </c>
      <c r="S33" s="28"/>
      <c r="T33" s="421">
        <f t="shared" si="1"/>
        <v>293545</v>
      </c>
      <c r="U33" s="28">
        <v>230</v>
      </c>
      <c r="V33" s="28"/>
      <c r="W33" s="28"/>
      <c r="X33" s="28">
        <f t="shared" si="8"/>
        <v>460000</v>
      </c>
      <c r="Y33" s="28">
        <v>0</v>
      </c>
      <c r="Z33" s="28"/>
      <c r="AA33" s="28">
        <f t="shared" si="2"/>
        <v>0</v>
      </c>
      <c r="AB33" s="30"/>
      <c r="AC33" s="28"/>
      <c r="AD33" s="28">
        <f t="shared" si="3"/>
        <v>0</v>
      </c>
      <c r="AE33" s="30"/>
      <c r="AF33" s="28">
        <f t="shared" si="12"/>
        <v>0</v>
      </c>
      <c r="AG33" s="30"/>
      <c r="AH33" s="28"/>
      <c r="AI33" s="28"/>
      <c r="AJ33" s="30"/>
      <c r="AK33" s="28"/>
      <c r="AL33" s="28"/>
      <c r="AM33" s="30">
        <v>0</v>
      </c>
      <c r="AN33" s="28"/>
      <c r="AO33" s="28">
        <v>0</v>
      </c>
      <c r="AP33" s="30"/>
      <c r="AQ33" s="28"/>
      <c r="AR33" s="28"/>
      <c r="AS33" s="28"/>
      <c r="AT33" s="28">
        <f t="shared" si="5"/>
        <v>0</v>
      </c>
      <c r="AU33" s="28"/>
      <c r="AV33" s="28"/>
      <c r="AW33" s="28">
        <f t="shared" si="10"/>
        <v>0</v>
      </c>
      <c r="AX33" s="28"/>
      <c r="AY33" s="28"/>
      <c r="AZ33" s="28"/>
      <c r="BA33" s="382">
        <f>X33+T33+H33</f>
        <v>930728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8"/>
      <c r="CA33" s="28"/>
      <c r="CB33" s="28"/>
      <c r="CC33" s="28"/>
      <c r="CD33" s="28"/>
      <c r="CE33" s="28"/>
      <c r="CF33" s="28"/>
      <c r="CG33" s="382"/>
      <c r="CH33" s="383"/>
    </row>
    <row r="34" spans="1:336" s="414" customFormat="1" ht="12.75" x14ac:dyDescent="0.25">
      <c r="A34" s="390">
        <v>19</v>
      </c>
      <c r="B34" s="395" t="s">
        <v>238</v>
      </c>
      <c r="C34" s="396">
        <v>29</v>
      </c>
      <c r="D34" s="396"/>
      <c r="E34" s="28">
        <v>16490</v>
      </c>
      <c r="F34" s="28">
        <v>800</v>
      </c>
      <c r="G34" s="28"/>
      <c r="H34" s="28">
        <f t="shared" si="6"/>
        <v>472488</v>
      </c>
      <c r="I34" s="30">
        <v>0</v>
      </c>
      <c r="J34" s="28"/>
      <c r="K34" s="28">
        <f t="shared" si="0"/>
        <v>0</v>
      </c>
      <c r="L34" s="28">
        <v>100</v>
      </c>
      <c r="M34" s="28"/>
      <c r="N34" s="28">
        <f t="shared" si="7"/>
        <v>98500</v>
      </c>
      <c r="O34" s="28"/>
      <c r="P34" s="28"/>
      <c r="Q34" s="28"/>
      <c r="R34" s="28">
        <v>2000</v>
      </c>
      <c r="S34" s="28"/>
      <c r="T34" s="421">
        <f t="shared" si="1"/>
        <v>838700</v>
      </c>
      <c r="U34" s="28">
        <v>12</v>
      </c>
      <c r="V34" s="28"/>
      <c r="W34" s="28"/>
      <c r="X34" s="28">
        <f t="shared" si="8"/>
        <v>24000</v>
      </c>
      <c r="Y34" s="28">
        <v>10</v>
      </c>
      <c r="Z34" s="28"/>
      <c r="AA34" s="28">
        <f t="shared" si="2"/>
        <v>13000</v>
      </c>
      <c r="AB34" s="30">
        <v>1</v>
      </c>
      <c r="AC34" s="28"/>
      <c r="AD34" s="28">
        <v>100000</v>
      </c>
      <c r="AE34" s="30"/>
      <c r="AF34" s="28">
        <f t="shared" si="12"/>
        <v>0</v>
      </c>
      <c r="AG34" s="30"/>
      <c r="AH34" s="28"/>
      <c r="AI34" s="28"/>
      <c r="AJ34" s="30">
        <v>1</v>
      </c>
      <c r="AK34" s="28"/>
      <c r="AL34" s="28">
        <v>150000</v>
      </c>
      <c r="AM34" s="30">
        <v>0</v>
      </c>
      <c r="AN34" s="28"/>
      <c r="AO34" s="28">
        <v>0</v>
      </c>
      <c r="AP34" s="30">
        <v>15</v>
      </c>
      <c r="AQ34" s="28"/>
      <c r="AR34" s="28"/>
      <c r="AS34" s="28">
        <v>600</v>
      </c>
      <c r="AT34" s="28">
        <f t="shared" si="5"/>
        <v>1200000</v>
      </c>
      <c r="AU34" s="28"/>
      <c r="AV34" s="28"/>
      <c r="AW34" s="28">
        <f t="shared" si="10"/>
        <v>0</v>
      </c>
      <c r="AX34" s="28"/>
      <c r="AY34" s="28"/>
      <c r="AZ34" s="28"/>
      <c r="BA34" s="382">
        <f>AT34+AL34+AD34+AA34+X34+T34+N34+H34</f>
        <v>2896688</v>
      </c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8"/>
      <c r="CA34" s="28"/>
      <c r="CB34" s="28"/>
      <c r="CC34" s="28"/>
      <c r="CD34" s="28"/>
      <c r="CE34" s="28"/>
      <c r="CF34" s="28"/>
      <c r="CG34" s="382"/>
      <c r="CH34" s="383"/>
    </row>
    <row r="35" spans="1:336" s="414" customFormat="1" ht="12.75" x14ac:dyDescent="0.25">
      <c r="A35" s="390">
        <v>20</v>
      </c>
      <c r="B35" s="395" t="s">
        <v>239</v>
      </c>
      <c r="C35" s="396">
        <v>7</v>
      </c>
      <c r="D35" s="396">
        <v>1</v>
      </c>
      <c r="E35" s="28">
        <v>11589</v>
      </c>
      <c r="F35" s="28">
        <v>800</v>
      </c>
      <c r="G35" s="28"/>
      <c r="H35" s="28">
        <f t="shared" si="6"/>
        <v>472488</v>
      </c>
      <c r="I35" s="30">
        <v>14</v>
      </c>
      <c r="J35" s="28"/>
      <c r="K35" s="28">
        <v>450500</v>
      </c>
      <c r="L35" s="28">
        <v>150</v>
      </c>
      <c r="M35" s="28"/>
      <c r="N35" s="28">
        <f t="shared" si="7"/>
        <v>147750</v>
      </c>
      <c r="O35" s="28">
        <v>200</v>
      </c>
      <c r="P35" s="28">
        <v>163000</v>
      </c>
      <c r="Q35" s="28"/>
      <c r="R35" s="28">
        <v>2000</v>
      </c>
      <c r="S35" s="28"/>
      <c r="T35" s="421">
        <f t="shared" si="1"/>
        <v>838700</v>
      </c>
      <c r="U35" s="28">
        <v>214</v>
      </c>
      <c r="V35" s="28"/>
      <c r="W35" s="28"/>
      <c r="X35" s="28">
        <f t="shared" si="8"/>
        <v>428000</v>
      </c>
      <c r="Y35" s="28">
        <v>210</v>
      </c>
      <c r="Z35" s="28"/>
      <c r="AA35" s="28">
        <f t="shared" si="2"/>
        <v>273000</v>
      </c>
      <c r="AB35" s="30"/>
      <c r="AC35" s="28"/>
      <c r="AD35" s="28"/>
      <c r="AE35" s="30">
        <v>1</v>
      </c>
      <c r="AF35" s="28">
        <v>80000</v>
      </c>
      <c r="AG35" s="28">
        <v>775</v>
      </c>
      <c r="AH35" s="28"/>
      <c r="AI35" s="28">
        <v>1003835</v>
      </c>
      <c r="AJ35" s="30">
        <v>1</v>
      </c>
      <c r="AK35" s="28"/>
      <c r="AL35" s="28">
        <v>241000</v>
      </c>
      <c r="AM35" s="30">
        <v>0</v>
      </c>
      <c r="AN35" s="28"/>
      <c r="AO35" s="28">
        <v>0</v>
      </c>
      <c r="AP35" s="30">
        <v>15</v>
      </c>
      <c r="AQ35" s="28"/>
      <c r="AR35" s="28"/>
      <c r="AS35" s="28">
        <v>313</v>
      </c>
      <c r="AT35" s="28">
        <f t="shared" si="5"/>
        <v>626000</v>
      </c>
      <c r="AU35" s="28" t="s">
        <v>233</v>
      </c>
      <c r="AV35" s="28">
        <v>20</v>
      </c>
      <c r="AW35" s="28">
        <f t="shared" si="10"/>
        <v>40000</v>
      </c>
      <c r="AX35" s="28"/>
      <c r="AY35" s="28"/>
      <c r="AZ35" s="28"/>
      <c r="BA35" s="382">
        <f>AW35+AT35+AL35+AF35+AA35+X35+T35+P35+N35+K35+H35</f>
        <v>3760438</v>
      </c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8"/>
      <c r="CA35" s="28"/>
      <c r="CB35" s="28"/>
      <c r="CC35" s="28"/>
      <c r="CD35" s="28"/>
      <c r="CE35" s="28"/>
      <c r="CF35" s="28"/>
      <c r="CG35" s="382"/>
      <c r="CH35" s="383"/>
    </row>
    <row r="36" spans="1:336" s="414" customFormat="1" ht="12.75" x14ac:dyDescent="0.25">
      <c r="A36" s="390">
        <v>21</v>
      </c>
      <c r="B36" s="395" t="s">
        <v>240</v>
      </c>
      <c r="C36" s="396">
        <v>2</v>
      </c>
      <c r="D36" s="396">
        <v>2</v>
      </c>
      <c r="E36" s="28">
        <v>6187</v>
      </c>
      <c r="F36" s="28">
        <v>1500</v>
      </c>
      <c r="G36" s="28"/>
      <c r="H36" s="28">
        <f t="shared" si="6"/>
        <v>885915</v>
      </c>
      <c r="I36" s="30">
        <v>0</v>
      </c>
      <c r="J36" s="28"/>
      <c r="K36" s="28">
        <f t="shared" si="0"/>
        <v>0</v>
      </c>
      <c r="L36" s="416">
        <v>200</v>
      </c>
      <c r="M36" s="28"/>
      <c r="N36" s="28">
        <f t="shared" si="7"/>
        <v>197000</v>
      </c>
      <c r="O36" s="28"/>
      <c r="P36" s="28"/>
      <c r="Q36" s="28"/>
      <c r="R36" s="28">
        <v>2500</v>
      </c>
      <c r="S36" s="28"/>
      <c r="T36" s="421">
        <f t="shared" si="1"/>
        <v>1048375</v>
      </c>
      <c r="U36" s="28"/>
      <c r="V36" s="28"/>
      <c r="W36" s="28"/>
      <c r="X36" s="28">
        <f t="shared" si="8"/>
        <v>0</v>
      </c>
      <c r="Y36" s="28">
        <v>200</v>
      </c>
      <c r="Z36" s="28"/>
      <c r="AA36" s="28">
        <f t="shared" si="2"/>
        <v>260000</v>
      </c>
      <c r="AB36" s="30"/>
      <c r="AC36" s="28"/>
      <c r="AD36" s="28"/>
      <c r="AE36" s="30">
        <v>1</v>
      </c>
      <c r="AF36" s="28">
        <v>80000</v>
      </c>
      <c r="AG36" s="30"/>
      <c r="AH36" s="28"/>
      <c r="AI36" s="28"/>
      <c r="AJ36" s="30"/>
      <c r="AK36" s="28"/>
      <c r="AL36" s="28"/>
      <c r="AM36" s="30">
        <v>0</v>
      </c>
      <c r="AN36" s="28"/>
      <c r="AO36" s="28">
        <v>0</v>
      </c>
      <c r="AP36" s="30">
        <v>22</v>
      </c>
      <c r="AQ36" s="28"/>
      <c r="AR36" s="28"/>
      <c r="AS36" s="28">
        <v>350</v>
      </c>
      <c r="AT36" s="28">
        <f t="shared" si="5"/>
        <v>700000</v>
      </c>
      <c r="AU36" s="28" t="s">
        <v>233</v>
      </c>
      <c r="AV36" s="28">
        <v>25</v>
      </c>
      <c r="AW36" s="28">
        <f t="shared" si="10"/>
        <v>50000</v>
      </c>
      <c r="AX36" s="28"/>
      <c r="AY36" s="28"/>
      <c r="AZ36" s="28"/>
      <c r="BA36" s="382">
        <f>AW36+AT36+AF36+AA36+T36+N36+H36</f>
        <v>3221290</v>
      </c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8"/>
      <c r="CA36" s="28"/>
      <c r="CB36" s="28"/>
      <c r="CC36" s="28"/>
      <c r="CD36" s="28"/>
      <c r="CE36" s="28"/>
      <c r="CF36" s="28"/>
      <c r="CG36" s="382"/>
      <c r="CH36" s="383"/>
    </row>
    <row r="37" spans="1:336" s="414" customFormat="1" ht="12.75" x14ac:dyDescent="0.25">
      <c r="A37" s="390">
        <v>22</v>
      </c>
      <c r="B37" s="395" t="s">
        <v>119</v>
      </c>
      <c r="C37" s="396">
        <v>21</v>
      </c>
      <c r="D37" s="396">
        <v>1</v>
      </c>
      <c r="E37" s="28">
        <v>4988</v>
      </c>
      <c r="F37" s="28">
        <v>500</v>
      </c>
      <c r="G37" s="28"/>
      <c r="H37" s="28">
        <f t="shared" si="6"/>
        <v>295305</v>
      </c>
      <c r="I37" s="30">
        <v>0</v>
      </c>
      <c r="J37" s="28"/>
      <c r="K37" s="28">
        <f t="shared" si="0"/>
        <v>0</v>
      </c>
      <c r="L37" s="28">
        <v>100</v>
      </c>
      <c r="M37" s="28"/>
      <c r="N37" s="28">
        <f t="shared" si="7"/>
        <v>98500</v>
      </c>
      <c r="O37" s="28"/>
      <c r="P37" s="28"/>
      <c r="Q37" s="28"/>
      <c r="R37" s="28">
        <v>1800</v>
      </c>
      <c r="S37" s="28"/>
      <c r="T37" s="421">
        <f t="shared" si="1"/>
        <v>754830</v>
      </c>
      <c r="U37" s="28"/>
      <c r="V37" s="28"/>
      <c r="W37" s="28">
        <v>120</v>
      </c>
      <c r="X37" s="28">
        <v>240000</v>
      </c>
      <c r="Y37" s="28"/>
      <c r="Z37" s="28"/>
      <c r="AA37" s="28">
        <f t="shared" si="2"/>
        <v>0</v>
      </c>
      <c r="AB37" s="30"/>
      <c r="AC37" s="28"/>
      <c r="AD37" s="28"/>
      <c r="AE37" s="30"/>
      <c r="AF37" s="28">
        <f t="shared" si="12"/>
        <v>0</v>
      </c>
      <c r="AG37" s="30"/>
      <c r="AH37" s="28"/>
      <c r="AI37" s="28"/>
      <c r="AJ37" s="30"/>
      <c r="AK37" s="28"/>
      <c r="AL37" s="28"/>
      <c r="AM37" s="30">
        <v>0</v>
      </c>
      <c r="AN37" s="28"/>
      <c r="AO37" s="28">
        <v>0</v>
      </c>
      <c r="AP37" s="30"/>
      <c r="AQ37" s="28"/>
      <c r="AR37" s="28"/>
      <c r="AS37" s="28"/>
      <c r="AT37" s="28"/>
      <c r="AU37" s="28"/>
      <c r="AV37" s="28"/>
      <c r="AW37" s="28">
        <f t="shared" si="10"/>
        <v>0</v>
      </c>
      <c r="AX37" s="28"/>
      <c r="AY37" s="28"/>
      <c r="AZ37" s="28"/>
      <c r="BA37" s="382">
        <f>X37+T37+N37+H37</f>
        <v>1388635</v>
      </c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8"/>
      <c r="CA37" s="28"/>
      <c r="CB37" s="28"/>
      <c r="CC37" s="28"/>
      <c r="CD37" s="28"/>
      <c r="CE37" s="28"/>
      <c r="CF37" s="28"/>
      <c r="CG37" s="382"/>
      <c r="CH37" s="383"/>
    </row>
    <row r="38" spans="1:336" s="414" customFormat="1" ht="12.75" x14ac:dyDescent="0.25">
      <c r="A38" s="390">
        <v>23</v>
      </c>
      <c r="B38" s="395" t="s">
        <v>119</v>
      </c>
      <c r="C38" s="396">
        <v>21</v>
      </c>
      <c r="D38" s="396">
        <v>2</v>
      </c>
      <c r="E38" s="28">
        <v>5714</v>
      </c>
      <c r="F38" s="28">
        <v>500</v>
      </c>
      <c r="G38" s="28"/>
      <c r="H38" s="28">
        <f t="shared" si="6"/>
        <v>295305</v>
      </c>
      <c r="I38" s="30">
        <v>0</v>
      </c>
      <c r="J38" s="28"/>
      <c r="K38" s="28">
        <f t="shared" si="0"/>
        <v>0</v>
      </c>
      <c r="L38" s="28">
        <v>100</v>
      </c>
      <c r="M38" s="28"/>
      <c r="N38" s="28">
        <f t="shared" si="7"/>
        <v>98500</v>
      </c>
      <c r="O38" s="28"/>
      <c r="P38" s="28"/>
      <c r="Q38" s="28"/>
      <c r="R38" s="28">
        <v>2000</v>
      </c>
      <c r="S38" s="28"/>
      <c r="T38" s="421">
        <f t="shared" si="1"/>
        <v>838700</v>
      </c>
      <c r="U38" s="28"/>
      <c r="V38" s="28"/>
      <c r="W38" s="28"/>
      <c r="X38" s="28"/>
      <c r="Y38" s="28">
        <v>100</v>
      </c>
      <c r="Z38" s="28"/>
      <c r="AA38" s="28">
        <f t="shared" si="2"/>
        <v>130000</v>
      </c>
      <c r="AB38" s="30"/>
      <c r="AC38" s="28"/>
      <c r="AD38" s="28"/>
      <c r="AE38" s="30"/>
      <c r="AF38" s="28"/>
      <c r="AG38" s="30"/>
      <c r="AH38" s="28"/>
      <c r="AI38" s="28"/>
      <c r="AJ38" s="30"/>
      <c r="AK38" s="28"/>
      <c r="AL38" s="28"/>
      <c r="AM38" s="30">
        <v>0</v>
      </c>
      <c r="AN38" s="28"/>
      <c r="AO38" s="28">
        <v>0</v>
      </c>
      <c r="AP38" s="30"/>
      <c r="AQ38" s="28"/>
      <c r="AR38" s="28"/>
      <c r="AS38" s="28"/>
      <c r="AT38" s="28"/>
      <c r="AU38" s="28"/>
      <c r="AV38" s="28"/>
      <c r="AW38" s="28">
        <f t="shared" si="10"/>
        <v>0</v>
      </c>
      <c r="AX38" s="28"/>
      <c r="AY38" s="28"/>
      <c r="AZ38" s="28"/>
      <c r="BA38" s="382">
        <f>AA38+T38+N38+H38</f>
        <v>1362505</v>
      </c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8"/>
      <c r="CA38" s="28"/>
      <c r="CB38" s="28"/>
      <c r="CC38" s="28"/>
      <c r="CD38" s="28"/>
      <c r="CE38" s="28"/>
      <c r="CF38" s="28"/>
      <c r="CG38" s="382"/>
      <c r="CH38" s="383"/>
    </row>
    <row r="39" spans="1:336" s="414" customFormat="1" ht="27.6" customHeight="1" x14ac:dyDescent="0.25">
      <c r="A39" s="390">
        <v>24</v>
      </c>
      <c r="B39" s="395" t="s">
        <v>242</v>
      </c>
      <c r="C39" s="396">
        <v>26</v>
      </c>
      <c r="D39" s="396">
        <v>3</v>
      </c>
      <c r="E39" s="28">
        <v>7441</v>
      </c>
      <c r="F39" s="28">
        <v>1000</v>
      </c>
      <c r="G39" s="28"/>
      <c r="H39" s="28">
        <f t="shared" si="6"/>
        <v>590610</v>
      </c>
      <c r="I39" s="30">
        <v>0</v>
      </c>
      <c r="J39" s="28"/>
      <c r="K39" s="28">
        <v>0</v>
      </c>
      <c r="L39" s="28">
        <v>170</v>
      </c>
      <c r="M39" s="28"/>
      <c r="N39" s="28">
        <f t="shared" si="7"/>
        <v>167450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>
        <v>135</v>
      </c>
      <c r="Z39" s="28"/>
      <c r="AA39" s="28">
        <f t="shared" si="2"/>
        <v>175500</v>
      </c>
      <c r="AB39" s="30"/>
      <c r="AC39" s="28"/>
      <c r="AD39" s="28"/>
      <c r="AE39" s="30"/>
      <c r="AF39" s="28"/>
      <c r="AG39" s="30"/>
      <c r="AH39" s="28"/>
      <c r="AI39" s="28"/>
      <c r="AJ39" s="30"/>
      <c r="AK39" s="28"/>
      <c r="AL39" s="28"/>
      <c r="AM39" s="30">
        <v>0</v>
      </c>
      <c r="AN39" s="28"/>
      <c r="AO39" s="28">
        <v>0</v>
      </c>
      <c r="AP39" s="30"/>
      <c r="AQ39" s="28"/>
      <c r="AR39" s="28"/>
      <c r="AS39" s="28"/>
      <c r="AT39" s="28"/>
      <c r="AU39" s="28" t="s">
        <v>243</v>
      </c>
      <c r="AV39" s="28">
        <v>40</v>
      </c>
      <c r="AW39" s="28">
        <f t="shared" si="10"/>
        <v>80000</v>
      </c>
      <c r="AX39" s="28"/>
      <c r="AY39" s="28"/>
      <c r="AZ39" s="28"/>
      <c r="BA39" s="382">
        <f>AW39+AA39+N39+H39</f>
        <v>1013560</v>
      </c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8"/>
      <c r="CA39" s="28"/>
      <c r="CB39" s="28"/>
      <c r="CC39" s="28"/>
      <c r="CD39" s="28"/>
      <c r="CE39" s="28"/>
      <c r="CF39" s="28"/>
      <c r="CG39" s="382"/>
      <c r="CH39" s="427"/>
      <c r="CI39" s="428"/>
    </row>
    <row r="40" spans="1:336" s="408" customFormat="1" ht="12.75" x14ac:dyDescent="0.25">
      <c r="A40" s="401"/>
      <c r="B40" s="396" t="s">
        <v>236</v>
      </c>
      <c r="C40" s="396"/>
      <c r="D40" s="396"/>
      <c r="E40" s="406">
        <f>SUM(E17:E39)</f>
        <v>157446</v>
      </c>
      <c r="F40" s="406">
        <f>SUM(F17:F39)</f>
        <v>12600</v>
      </c>
      <c r="G40" s="404"/>
      <c r="H40" s="406">
        <f>SUM(H17:H39)</f>
        <v>7441686</v>
      </c>
      <c r="I40" s="406">
        <f>SUM(I17:I39)</f>
        <v>33</v>
      </c>
      <c r="J40" s="406">
        <f>SUM(J17:J33)</f>
        <v>0</v>
      </c>
      <c r="K40" s="406">
        <f>SUM(K17:K39)</f>
        <v>963500</v>
      </c>
      <c r="L40" s="406">
        <f>SUM(L17:L39)</f>
        <v>2015</v>
      </c>
      <c r="M40" s="406">
        <f>SUM(M17:M33)</f>
        <v>0</v>
      </c>
      <c r="N40" s="406">
        <f>SUM(N17:N39)</f>
        <v>1984775</v>
      </c>
      <c r="O40" s="406">
        <f>SUM(O17:O39)</f>
        <v>200</v>
      </c>
      <c r="P40" s="406">
        <f>SUM(P17:P39)</f>
        <v>163000</v>
      </c>
      <c r="Q40" s="406"/>
      <c r="R40" s="406">
        <f>SUM(R17:R39)</f>
        <v>41600</v>
      </c>
      <c r="S40" s="406">
        <f>SUM(S17:S33)</f>
        <v>0</v>
      </c>
      <c r="T40" s="406">
        <f>SUM(T17:T39)</f>
        <v>17444960</v>
      </c>
      <c r="U40" s="406">
        <f>SUM(U17:U39)</f>
        <v>796</v>
      </c>
      <c r="V40" s="406">
        <f>SUM(V17:V33)</f>
        <v>0</v>
      </c>
      <c r="W40" s="406">
        <f>SUM(W17:W39)</f>
        <v>144</v>
      </c>
      <c r="X40" s="406">
        <f>SUM(X17:X39)</f>
        <v>1880000</v>
      </c>
      <c r="Y40" s="406">
        <f>SUM(Y17:Y39)</f>
        <v>1952</v>
      </c>
      <c r="Z40" s="406">
        <f>SUM(Z17:Z33)</f>
        <v>0</v>
      </c>
      <c r="AA40" s="406">
        <f>SUM(AA17:AA39)</f>
        <v>2537600</v>
      </c>
      <c r="AB40" s="405">
        <f>SUM(AB17:AB39)</f>
        <v>2</v>
      </c>
      <c r="AC40" s="406">
        <f>SUM(AC17:AC33)</f>
        <v>0</v>
      </c>
      <c r="AD40" s="406">
        <f>SUM(AD17:AD39)</f>
        <v>140000</v>
      </c>
      <c r="AE40" s="405">
        <f>SUM(AE17:AE39)</f>
        <v>5</v>
      </c>
      <c r="AF40" s="406">
        <f>SUM(AF17:AF39)</f>
        <v>400000</v>
      </c>
      <c r="AG40" s="405"/>
      <c r="AH40" s="406">
        <f>SUM(AH17:AH33)</f>
        <v>0</v>
      </c>
      <c r="AI40" s="406">
        <f>SUM(AI18:AI39)</f>
        <v>1153835</v>
      </c>
      <c r="AJ40" s="405">
        <f>SUM(AJ17:AJ39)</f>
        <v>9</v>
      </c>
      <c r="AK40" s="406">
        <f>SUM(AK17:AK33)</f>
        <v>0</v>
      </c>
      <c r="AL40" s="406">
        <f>SUM(AL17:AL39)</f>
        <v>1544000</v>
      </c>
      <c r="AM40" s="406">
        <v>0</v>
      </c>
      <c r="AN40" s="406">
        <f>SUM(AN17:AN33)</f>
        <v>0</v>
      </c>
      <c r="AO40" s="406">
        <f>SUM(AO17:AO39)</f>
        <v>0</v>
      </c>
      <c r="AP40" s="405">
        <f>SUM(AP17:AP39)</f>
        <v>236</v>
      </c>
      <c r="AQ40" s="406"/>
      <c r="AR40" s="406">
        <v>1754644</v>
      </c>
      <c r="AS40" s="406">
        <f>SUM(AS17:AS39)</f>
        <v>3031</v>
      </c>
      <c r="AT40" s="406">
        <f>SUM(AT17:AT39)</f>
        <v>6062000</v>
      </c>
      <c r="AU40" s="406"/>
      <c r="AV40" s="406">
        <f>SUM(AV17:AV39)</f>
        <v>190.16</v>
      </c>
      <c r="AW40" s="406">
        <f>SUM(AW17:AW39)</f>
        <v>330000</v>
      </c>
      <c r="AX40" s="406"/>
      <c r="AY40" s="406">
        <v>200000</v>
      </c>
      <c r="AZ40" s="406">
        <v>1000000</v>
      </c>
      <c r="BA40" s="406">
        <f>AZ40+AY40+AW40+AT40+AR40+AL40+AI40+AF40+AD40+AA40+X40+T40+P40+N40+K40+H40</f>
        <v>45000000</v>
      </c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4"/>
      <c r="CA40" s="404"/>
      <c r="CB40" s="404"/>
      <c r="CC40" s="404"/>
      <c r="CD40" s="404"/>
      <c r="CE40" s="404"/>
      <c r="CF40" s="404"/>
      <c r="CG40" s="405"/>
      <c r="CH40" s="407"/>
      <c r="CI40" s="520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520"/>
      <c r="CX40" s="520"/>
      <c r="CY40" s="520"/>
      <c r="CZ40" s="520"/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0"/>
      <c r="DL40" s="520"/>
      <c r="DM40" s="520"/>
      <c r="DN40" s="520"/>
      <c r="DO40" s="520"/>
      <c r="DP40" s="520"/>
      <c r="DQ40" s="520"/>
      <c r="DR40" s="520"/>
      <c r="DS40" s="520"/>
      <c r="DT40" s="520"/>
      <c r="DU40" s="520"/>
      <c r="DV40" s="520"/>
      <c r="DW40" s="520"/>
      <c r="DX40" s="520"/>
      <c r="DY40" s="520"/>
      <c r="DZ40" s="520"/>
      <c r="EA40" s="520"/>
      <c r="EB40" s="520"/>
      <c r="EC40" s="520"/>
      <c r="ED40" s="520"/>
      <c r="EE40" s="520"/>
      <c r="EF40" s="520"/>
      <c r="EG40" s="520"/>
      <c r="EH40" s="520"/>
      <c r="EI40" s="520"/>
      <c r="EJ40" s="520"/>
      <c r="EK40" s="520"/>
      <c r="EL40" s="520"/>
      <c r="EM40" s="520"/>
      <c r="EN40" s="520"/>
      <c r="EO40" s="520"/>
      <c r="EP40" s="520"/>
      <c r="EQ40" s="520"/>
      <c r="ER40" s="520"/>
      <c r="ES40" s="520"/>
      <c r="ET40" s="520"/>
      <c r="EU40" s="520"/>
      <c r="EV40" s="520"/>
      <c r="EW40" s="520"/>
      <c r="EX40" s="520"/>
      <c r="EY40" s="520"/>
      <c r="EZ40" s="520"/>
      <c r="FA40" s="520"/>
      <c r="FB40" s="520"/>
      <c r="FC40" s="520"/>
      <c r="FD40" s="520"/>
      <c r="FE40" s="520"/>
      <c r="FF40" s="520"/>
      <c r="FG40" s="520"/>
      <c r="FH40" s="520"/>
      <c r="FI40" s="520"/>
      <c r="FJ40" s="520"/>
      <c r="FK40" s="520"/>
      <c r="FL40" s="520"/>
      <c r="FM40" s="520"/>
      <c r="FN40" s="520"/>
      <c r="FO40" s="520"/>
      <c r="FP40" s="520"/>
      <c r="FQ40" s="520"/>
      <c r="FR40" s="520"/>
      <c r="FS40" s="520"/>
      <c r="FT40" s="520"/>
      <c r="FU40" s="520"/>
      <c r="FV40" s="520"/>
      <c r="FW40" s="520"/>
      <c r="FX40" s="520"/>
      <c r="FY40" s="520"/>
      <c r="FZ40" s="520"/>
      <c r="GA40" s="520"/>
      <c r="GB40" s="520"/>
      <c r="GC40" s="520"/>
      <c r="GD40" s="520"/>
      <c r="GE40" s="520"/>
      <c r="GF40" s="520"/>
      <c r="GG40" s="520"/>
      <c r="GH40" s="520"/>
      <c r="GI40" s="520"/>
      <c r="GJ40" s="520"/>
      <c r="GK40" s="520"/>
      <c r="GL40" s="520"/>
      <c r="GM40" s="520"/>
      <c r="GN40" s="520"/>
      <c r="GO40" s="520"/>
      <c r="GP40" s="520"/>
      <c r="GQ40" s="520"/>
      <c r="GR40" s="520"/>
      <c r="GS40" s="520"/>
      <c r="GT40" s="520"/>
      <c r="GU40" s="520"/>
      <c r="GV40" s="520"/>
      <c r="GW40" s="520"/>
      <c r="GX40" s="520"/>
      <c r="GY40" s="520"/>
      <c r="GZ40" s="520"/>
      <c r="HA40" s="520"/>
      <c r="HB40" s="520"/>
      <c r="HC40" s="520"/>
      <c r="HD40" s="520"/>
      <c r="HE40" s="520"/>
      <c r="HF40" s="520"/>
      <c r="HG40" s="520"/>
      <c r="HH40" s="520"/>
      <c r="HI40" s="520"/>
      <c r="HJ40" s="520"/>
      <c r="HK40" s="520"/>
      <c r="HL40" s="520"/>
      <c r="HM40" s="520"/>
      <c r="HN40" s="520"/>
      <c r="HO40" s="520"/>
      <c r="HP40" s="520"/>
      <c r="HQ40" s="520"/>
      <c r="HR40" s="520"/>
      <c r="HS40" s="520"/>
      <c r="HT40" s="520"/>
      <c r="HU40" s="520"/>
      <c r="HV40" s="520"/>
      <c r="HW40" s="520"/>
      <c r="HX40" s="520"/>
      <c r="HY40" s="520"/>
      <c r="HZ40" s="520"/>
      <c r="IA40" s="520"/>
      <c r="IB40" s="520"/>
      <c r="IC40" s="520"/>
      <c r="ID40" s="520"/>
      <c r="IE40" s="520"/>
      <c r="IF40" s="520"/>
      <c r="IG40" s="520"/>
      <c r="IH40" s="520"/>
      <c r="II40" s="520"/>
      <c r="IJ40" s="520"/>
      <c r="IK40" s="520"/>
      <c r="IL40" s="520"/>
      <c r="IM40" s="520"/>
      <c r="IN40" s="520"/>
      <c r="IO40" s="520"/>
      <c r="IP40" s="520"/>
      <c r="IQ40" s="520"/>
      <c r="IR40" s="520"/>
      <c r="IS40" s="520"/>
      <c r="IT40" s="520"/>
      <c r="IU40" s="520"/>
      <c r="IV40" s="520"/>
      <c r="IW40" s="520"/>
      <c r="IX40" s="520"/>
      <c r="IY40" s="520"/>
      <c r="IZ40" s="520"/>
      <c r="JA40" s="520"/>
      <c r="JB40" s="520"/>
      <c r="JC40" s="520"/>
      <c r="JD40" s="520"/>
      <c r="JE40" s="520"/>
      <c r="JF40" s="520"/>
      <c r="JG40" s="520"/>
      <c r="JH40" s="520"/>
      <c r="JI40" s="520"/>
      <c r="JJ40" s="520"/>
      <c r="JK40" s="520"/>
      <c r="JL40" s="520"/>
      <c r="JM40" s="520"/>
      <c r="JN40" s="520"/>
      <c r="JO40" s="520"/>
      <c r="JP40" s="520"/>
      <c r="JQ40" s="520"/>
      <c r="JR40" s="520"/>
      <c r="JS40" s="520"/>
      <c r="JT40" s="520"/>
      <c r="JU40" s="520"/>
      <c r="JV40" s="520"/>
      <c r="JW40" s="520"/>
      <c r="JX40" s="520"/>
      <c r="JY40" s="520"/>
      <c r="JZ40" s="520"/>
      <c r="KA40" s="520"/>
      <c r="KB40" s="520"/>
      <c r="KC40" s="520"/>
      <c r="KD40" s="520"/>
      <c r="KE40" s="520"/>
      <c r="KF40" s="520"/>
      <c r="KG40" s="520"/>
      <c r="KH40" s="520"/>
      <c r="KI40" s="520"/>
      <c r="KJ40" s="520"/>
      <c r="KK40" s="520"/>
      <c r="KL40" s="520"/>
      <c r="KM40" s="520"/>
      <c r="KN40" s="520"/>
      <c r="KO40" s="520"/>
      <c r="KP40" s="520"/>
      <c r="KQ40" s="520"/>
      <c r="KR40" s="520"/>
      <c r="KS40" s="520"/>
      <c r="KT40" s="520"/>
      <c r="KU40" s="520"/>
      <c r="KV40" s="520"/>
      <c r="KW40" s="520"/>
      <c r="KX40" s="520"/>
      <c r="KY40" s="520"/>
      <c r="KZ40" s="520"/>
      <c r="LA40" s="520"/>
      <c r="LB40" s="520"/>
      <c r="LC40" s="520"/>
      <c r="LD40" s="520"/>
      <c r="LE40" s="520"/>
      <c r="LF40" s="520"/>
      <c r="LG40" s="520"/>
      <c r="LH40" s="520"/>
      <c r="LI40" s="520"/>
      <c r="LJ40" s="520"/>
      <c r="LK40" s="520"/>
      <c r="LL40" s="520"/>
      <c r="LM40" s="520"/>
      <c r="LN40" s="520"/>
      <c r="LO40" s="520"/>
      <c r="LP40" s="520"/>
      <c r="LQ40" s="520"/>
      <c r="LR40" s="520"/>
      <c r="LS40" s="520"/>
      <c r="LT40" s="520"/>
      <c r="LU40" s="520"/>
      <c r="LV40" s="520"/>
      <c r="LW40" s="520"/>
      <c r="LX40" s="429"/>
    </row>
    <row r="41" spans="1:336" ht="11.45" customHeight="1" x14ac:dyDescent="0.25">
      <c r="A41" s="415"/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23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520"/>
    </row>
    <row r="42" spans="1:336" ht="11.45" customHeight="1" x14ac:dyDescent="0.25">
      <c r="A42" s="415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520"/>
    </row>
    <row r="43" spans="1:336" ht="11.45" customHeight="1" x14ac:dyDescent="0.25">
      <c r="A43" s="415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520"/>
    </row>
    <row r="44" spans="1:336" ht="11.45" customHeight="1" x14ac:dyDescent="0.25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520"/>
    </row>
    <row r="45" spans="1:336" ht="11.45" customHeight="1" x14ac:dyDescent="0.25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520"/>
    </row>
    <row r="46" spans="1:336" ht="11.45" customHeight="1" x14ac:dyDescent="0.25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520"/>
    </row>
    <row r="47" spans="1:336" ht="11.45" customHeight="1" x14ac:dyDescent="0.25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520"/>
    </row>
    <row r="48" spans="1:336" ht="11.45" customHeight="1" x14ac:dyDescent="0.25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5"/>
      <c r="BO48" s="415"/>
      <c r="BP48" s="415"/>
      <c r="BQ48" s="415"/>
      <c r="BR48" s="415"/>
      <c r="BS48" s="415"/>
      <c r="BT48" s="415"/>
      <c r="BU48" s="415"/>
      <c r="BV48" s="415"/>
      <c r="BW48" s="415"/>
      <c r="BX48" s="415"/>
      <c r="BY48" s="415"/>
      <c r="BZ48" s="415"/>
      <c r="CA48" s="415"/>
      <c r="CB48" s="415"/>
      <c r="CC48" s="415"/>
      <c r="CD48" s="415"/>
      <c r="CE48" s="415"/>
      <c r="CF48" s="415"/>
      <c r="CG48" s="415"/>
      <c r="CH48" s="415"/>
      <c r="CI48" s="520"/>
    </row>
    <row r="49" spans="1:87" s="414" customFormat="1" ht="11.45" customHeight="1" x14ac:dyDescent="0.25">
      <c r="A49" s="415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520"/>
    </row>
    <row r="50" spans="1:87" ht="11.45" customHeight="1" x14ac:dyDescent="0.25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  <c r="BU50" s="415"/>
      <c r="BV50" s="415"/>
      <c r="BW50" s="415"/>
      <c r="BX50" s="415"/>
      <c r="BY50" s="415"/>
      <c r="BZ50" s="415"/>
      <c r="CA50" s="415"/>
      <c r="CB50" s="415"/>
      <c r="CC50" s="415"/>
      <c r="CD50" s="415"/>
      <c r="CE50" s="415"/>
      <c r="CF50" s="415"/>
      <c r="CG50" s="415"/>
      <c r="CH50" s="415"/>
      <c r="CI50" s="520"/>
    </row>
    <row r="51" spans="1:87" x14ac:dyDescent="0.25">
      <c r="CI51" s="520"/>
    </row>
    <row r="52" spans="1:87" x14ac:dyDescent="0.25">
      <c r="AW52" s="425" t="s">
        <v>247</v>
      </c>
      <c r="AZ52" s="422">
        <v>1003835</v>
      </c>
    </row>
  </sheetData>
  <mergeCells count="60">
    <mergeCell ref="AJ13:AL15"/>
    <mergeCell ref="AM13:AO15"/>
    <mergeCell ref="AP13:AR15"/>
    <mergeCell ref="BF13:BF14"/>
    <mergeCell ref="BB13:BB14"/>
    <mergeCell ref="AZ13:AZ15"/>
    <mergeCell ref="AX13:AY15"/>
    <mergeCell ref="AS1:BA1"/>
    <mergeCell ref="A7:CH7"/>
    <mergeCell ref="A8:CH8"/>
    <mergeCell ref="A9:CH9"/>
    <mergeCell ref="BZ11:CG12"/>
    <mergeCell ref="A11:A15"/>
    <mergeCell ref="CD13:CE15"/>
    <mergeCell ref="CF13:CF15"/>
    <mergeCell ref="CG13:CG15"/>
    <mergeCell ref="CH11:CH15"/>
    <mergeCell ref="A1:E1"/>
    <mergeCell ref="CD1:CH1"/>
    <mergeCell ref="A2:E2"/>
    <mergeCell ref="A3:E3"/>
    <mergeCell ref="CD3:CH3"/>
    <mergeCell ref="CB2:CH2"/>
    <mergeCell ref="CD4:CH4"/>
    <mergeCell ref="A5:E5"/>
    <mergeCell ref="CD5:CH5"/>
    <mergeCell ref="A6:E6"/>
    <mergeCell ref="CD6:CH6"/>
    <mergeCell ref="BJ13:BJ14"/>
    <mergeCell ref="BH13:BH14"/>
    <mergeCell ref="AG13:AI15"/>
    <mergeCell ref="CB13:CC15"/>
    <mergeCell ref="A4:E4"/>
    <mergeCell ref="E11:E15"/>
    <mergeCell ref="BD13:BD14"/>
    <mergeCell ref="BP13:BP14"/>
    <mergeCell ref="F11:BA12"/>
    <mergeCell ref="AE13:AF15"/>
    <mergeCell ref="BA13:BA15"/>
    <mergeCell ref="I13:K15"/>
    <mergeCell ref="L13:N15"/>
    <mergeCell ref="R13:T15"/>
    <mergeCell ref="BN13:BN14"/>
    <mergeCell ref="O13:P15"/>
    <mergeCell ref="CI40:CI51"/>
    <mergeCell ref="CJ40:CV40"/>
    <mergeCell ref="CW40:LW40"/>
    <mergeCell ref="B11:D15"/>
    <mergeCell ref="BT13:BT14"/>
    <mergeCell ref="BV13:BV14"/>
    <mergeCell ref="BX13:BX14"/>
    <mergeCell ref="BZ13:CA15"/>
    <mergeCell ref="Y13:AA15"/>
    <mergeCell ref="U13:X15"/>
    <mergeCell ref="AS13:AT15"/>
    <mergeCell ref="AU13:AW15"/>
    <mergeCell ref="AB13:AD15"/>
    <mergeCell ref="F13:H15"/>
    <mergeCell ref="BL13:BL14"/>
    <mergeCell ref="BR13:BR14"/>
  </mergeCells>
  <pageMargins left="0.25" right="0.25" top="0.75" bottom="0.75" header="0.3" footer="0.3"/>
  <pageSetup paperSize="8" scale="43" fitToHeight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644"/>
  <sheetViews>
    <sheetView workbookViewId="0">
      <pane xSplit="4" ySplit="13" topLeftCell="E212" activePane="bottomRight" state="frozen"/>
      <selection pane="topRight" activeCell="E1" sqref="E1"/>
      <selection pane="bottomLeft" activeCell="A14" sqref="A14"/>
      <selection pane="bottomRight" activeCell="A180" sqref="A180:XFD180"/>
    </sheetView>
  </sheetViews>
  <sheetFormatPr defaultRowHeight="12" x14ac:dyDescent="0.25"/>
  <cols>
    <col min="1" max="1" width="3.28515625" style="65" customWidth="1"/>
    <col min="2" max="2" width="14.140625" style="375" customWidth="1"/>
    <col min="3" max="3" width="4.7109375" style="375" customWidth="1"/>
    <col min="4" max="4" width="3.28515625" style="375" customWidth="1"/>
    <col min="5" max="5" width="6.140625" style="376" customWidth="1"/>
    <col min="6" max="6" width="7.42578125" style="377" customWidth="1"/>
    <col min="7" max="7" width="7" style="377" customWidth="1"/>
    <col min="8" max="8" width="5.140625" style="109" customWidth="1"/>
    <col min="9" max="9" width="5.28515625" style="109" customWidth="1"/>
    <col min="10" max="10" width="5" style="109" customWidth="1"/>
    <col min="11" max="11" width="7.5703125" style="376" customWidth="1"/>
    <col min="12" max="12" width="5.85546875" style="378" customWidth="1"/>
    <col min="13" max="13" width="6.140625" style="378" customWidth="1"/>
    <col min="14" max="14" width="5.7109375" style="378" customWidth="1"/>
    <col min="15" max="15" width="7" style="378" customWidth="1"/>
    <col min="16" max="17" width="5.5703125" style="379" customWidth="1"/>
    <col min="18" max="18" width="5.7109375" style="379" customWidth="1"/>
    <col min="19" max="19" width="5.28515625" style="109" customWidth="1"/>
    <col min="20" max="20" width="6.42578125" style="376" hidden="1" customWidth="1"/>
    <col min="21" max="21" width="0.140625" style="376" hidden="1" customWidth="1"/>
    <col min="22" max="22" width="4.85546875" style="109" customWidth="1"/>
    <col min="23" max="23" width="5.42578125" style="377" hidden="1" customWidth="1"/>
    <col min="24" max="24" width="5.7109375" style="377" hidden="1" customWidth="1"/>
    <col min="25" max="25" width="7.7109375" style="377" customWidth="1"/>
    <col min="26" max="26" width="4.7109375" style="109" customWidth="1"/>
    <col min="27" max="27" width="5.28515625" style="377" customWidth="1"/>
    <col min="28" max="28" width="7.5703125" style="109" customWidth="1"/>
    <col min="29" max="29" width="6" style="65" hidden="1" customWidth="1"/>
    <col min="30" max="30" width="7.140625" style="65" hidden="1" customWidth="1"/>
    <col min="31" max="31" width="5.42578125" style="65" hidden="1" customWidth="1"/>
    <col min="32" max="32" width="5.5703125" style="65" hidden="1" customWidth="1"/>
    <col min="33" max="33" width="5.140625" style="65" hidden="1" customWidth="1"/>
    <col min="34" max="34" width="5.42578125" style="65" hidden="1" customWidth="1"/>
    <col min="35" max="35" width="6.28515625" style="65" hidden="1" customWidth="1"/>
    <col min="36" max="36" width="6.42578125" style="65" hidden="1" customWidth="1"/>
    <col min="37" max="37" width="0" style="65" hidden="1" customWidth="1"/>
    <col min="38" max="256" width="9.140625" style="65"/>
    <col min="257" max="257" width="3.28515625" style="65" customWidth="1"/>
    <col min="258" max="258" width="14.140625" style="65" customWidth="1"/>
    <col min="259" max="259" width="4.7109375" style="65" customWidth="1"/>
    <col min="260" max="260" width="3.28515625" style="65" customWidth="1"/>
    <col min="261" max="261" width="6.140625" style="65" customWidth="1"/>
    <col min="262" max="262" width="7.42578125" style="65" customWidth="1"/>
    <col min="263" max="263" width="7" style="65" customWidth="1"/>
    <col min="264" max="264" width="5.140625" style="65" customWidth="1"/>
    <col min="265" max="265" width="5.28515625" style="65" customWidth="1"/>
    <col min="266" max="266" width="5" style="65" customWidth="1"/>
    <col min="267" max="267" width="7.5703125" style="65" customWidth="1"/>
    <col min="268" max="268" width="5.85546875" style="65" customWidth="1"/>
    <col min="269" max="269" width="6.140625" style="65" customWidth="1"/>
    <col min="270" max="270" width="5.7109375" style="65" customWidth="1"/>
    <col min="271" max="271" width="7" style="65" customWidth="1"/>
    <col min="272" max="273" width="5.5703125" style="65" customWidth="1"/>
    <col min="274" max="274" width="5.7109375" style="65" customWidth="1"/>
    <col min="275" max="275" width="5.28515625" style="65" customWidth="1"/>
    <col min="276" max="277" width="0" style="65" hidden="1" customWidth="1"/>
    <col min="278" max="278" width="4.85546875" style="65" customWidth="1"/>
    <col min="279" max="280" width="0" style="65" hidden="1" customWidth="1"/>
    <col min="281" max="281" width="7.7109375" style="65" customWidth="1"/>
    <col min="282" max="282" width="4.7109375" style="65" customWidth="1"/>
    <col min="283" max="283" width="5.28515625" style="65" customWidth="1"/>
    <col min="284" max="284" width="7.5703125" style="65" customWidth="1"/>
    <col min="285" max="293" width="0" style="65" hidden="1" customWidth="1"/>
    <col min="294" max="512" width="9.140625" style="65"/>
    <col min="513" max="513" width="3.28515625" style="65" customWidth="1"/>
    <col min="514" max="514" width="14.140625" style="65" customWidth="1"/>
    <col min="515" max="515" width="4.7109375" style="65" customWidth="1"/>
    <col min="516" max="516" width="3.28515625" style="65" customWidth="1"/>
    <col min="517" max="517" width="6.140625" style="65" customWidth="1"/>
    <col min="518" max="518" width="7.42578125" style="65" customWidth="1"/>
    <col min="519" max="519" width="7" style="65" customWidth="1"/>
    <col min="520" max="520" width="5.140625" style="65" customWidth="1"/>
    <col min="521" max="521" width="5.28515625" style="65" customWidth="1"/>
    <col min="522" max="522" width="5" style="65" customWidth="1"/>
    <col min="523" max="523" width="7.5703125" style="65" customWidth="1"/>
    <col min="524" max="524" width="5.85546875" style="65" customWidth="1"/>
    <col min="525" max="525" width="6.140625" style="65" customWidth="1"/>
    <col min="526" max="526" width="5.7109375" style="65" customWidth="1"/>
    <col min="527" max="527" width="7" style="65" customWidth="1"/>
    <col min="528" max="529" width="5.5703125" style="65" customWidth="1"/>
    <col min="530" max="530" width="5.7109375" style="65" customWidth="1"/>
    <col min="531" max="531" width="5.28515625" style="65" customWidth="1"/>
    <col min="532" max="533" width="0" style="65" hidden="1" customWidth="1"/>
    <col min="534" max="534" width="4.85546875" style="65" customWidth="1"/>
    <col min="535" max="536" width="0" style="65" hidden="1" customWidth="1"/>
    <col min="537" max="537" width="7.7109375" style="65" customWidth="1"/>
    <col min="538" max="538" width="4.7109375" style="65" customWidth="1"/>
    <col min="539" max="539" width="5.28515625" style="65" customWidth="1"/>
    <col min="540" max="540" width="7.5703125" style="65" customWidth="1"/>
    <col min="541" max="549" width="0" style="65" hidden="1" customWidth="1"/>
    <col min="550" max="768" width="9.140625" style="65"/>
    <col min="769" max="769" width="3.28515625" style="65" customWidth="1"/>
    <col min="770" max="770" width="14.140625" style="65" customWidth="1"/>
    <col min="771" max="771" width="4.7109375" style="65" customWidth="1"/>
    <col min="772" max="772" width="3.28515625" style="65" customWidth="1"/>
    <col min="773" max="773" width="6.140625" style="65" customWidth="1"/>
    <col min="774" max="774" width="7.42578125" style="65" customWidth="1"/>
    <col min="775" max="775" width="7" style="65" customWidth="1"/>
    <col min="776" max="776" width="5.140625" style="65" customWidth="1"/>
    <col min="777" max="777" width="5.28515625" style="65" customWidth="1"/>
    <col min="778" max="778" width="5" style="65" customWidth="1"/>
    <col min="779" max="779" width="7.5703125" style="65" customWidth="1"/>
    <col min="780" max="780" width="5.85546875" style="65" customWidth="1"/>
    <col min="781" max="781" width="6.140625" style="65" customWidth="1"/>
    <col min="782" max="782" width="5.7109375" style="65" customWidth="1"/>
    <col min="783" max="783" width="7" style="65" customWidth="1"/>
    <col min="784" max="785" width="5.5703125" style="65" customWidth="1"/>
    <col min="786" max="786" width="5.7109375" style="65" customWidth="1"/>
    <col min="787" max="787" width="5.28515625" style="65" customWidth="1"/>
    <col min="788" max="789" width="0" style="65" hidden="1" customWidth="1"/>
    <col min="790" max="790" width="4.85546875" style="65" customWidth="1"/>
    <col min="791" max="792" width="0" style="65" hidden="1" customWidth="1"/>
    <col min="793" max="793" width="7.7109375" style="65" customWidth="1"/>
    <col min="794" max="794" width="4.7109375" style="65" customWidth="1"/>
    <col min="795" max="795" width="5.28515625" style="65" customWidth="1"/>
    <col min="796" max="796" width="7.5703125" style="65" customWidth="1"/>
    <col min="797" max="805" width="0" style="65" hidden="1" customWidth="1"/>
    <col min="806" max="1024" width="9.140625" style="65"/>
    <col min="1025" max="1025" width="3.28515625" style="65" customWidth="1"/>
    <col min="1026" max="1026" width="14.140625" style="65" customWidth="1"/>
    <col min="1027" max="1027" width="4.7109375" style="65" customWidth="1"/>
    <col min="1028" max="1028" width="3.28515625" style="65" customWidth="1"/>
    <col min="1029" max="1029" width="6.140625" style="65" customWidth="1"/>
    <col min="1030" max="1030" width="7.42578125" style="65" customWidth="1"/>
    <col min="1031" max="1031" width="7" style="65" customWidth="1"/>
    <col min="1032" max="1032" width="5.140625" style="65" customWidth="1"/>
    <col min="1033" max="1033" width="5.28515625" style="65" customWidth="1"/>
    <col min="1034" max="1034" width="5" style="65" customWidth="1"/>
    <col min="1035" max="1035" width="7.5703125" style="65" customWidth="1"/>
    <col min="1036" max="1036" width="5.85546875" style="65" customWidth="1"/>
    <col min="1037" max="1037" width="6.140625" style="65" customWidth="1"/>
    <col min="1038" max="1038" width="5.7109375" style="65" customWidth="1"/>
    <col min="1039" max="1039" width="7" style="65" customWidth="1"/>
    <col min="1040" max="1041" width="5.5703125" style="65" customWidth="1"/>
    <col min="1042" max="1042" width="5.7109375" style="65" customWidth="1"/>
    <col min="1043" max="1043" width="5.28515625" style="65" customWidth="1"/>
    <col min="1044" max="1045" width="0" style="65" hidden="1" customWidth="1"/>
    <col min="1046" max="1046" width="4.85546875" style="65" customWidth="1"/>
    <col min="1047" max="1048" width="0" style="65" hidden="1" customWidth="1"/>
    <col min="1049" max="1049" width="7.7109375" style="65" customWidth="1"/>
    <col min="1050" max="1050" width="4.7109375" style="65" customWidth="1"/>
    <col min="1051" max="1051" width="5.28515625" style="65" customWidth="1"/>
    <col min="1052" max="1052" width="7.5703125" style="65" customWidth="1"/>
    <col min="1053" max="1061" width="0" style="65" hidden="1" customWidth="1"/>
    <col min="1062" max="1280" width="9.140625" style="65"/>
    <col min="1281" max="1281" width="3.28515625" style="65" customWidth="1"/>
    <col min="1282" max="1282" width="14.140625" style="65" customWidth="1"/>
    <col min="1283" max="1283" width="4.7109375" style="65" customWidth="1"/>
    <col min="1284" max="1284" width="3.28515625" style="65" customWidth="1"/>
    <col min="1285" max="1285" width="6.140625" style="65" customWidth="1"/>
    <col min="1286" max="1286" width="7.42578125" style="65" customWidth="1"/>
    <col min="1287" max="1287" width="7" style="65" customWidth="1"/>
    <col min="1288" max="1288" width="5.140625" style="65" customWidth="1"/>
    <col min="1289" max="1289" width="5.28515625" style="65" customWidth="1"/>
    <col min="1290" max="1290" width="5" style="65" customWidth="1"/>
    <col min="1291" max="1291" width="7.5703125" style="65" customWidth="1"/>
    <col min="1292" max="1292" width="5.85546875" style="65" customWidth="1"/>
    <col min="1293" max="1293" width="6.140625" style="65" customWidth="1"/>
    <col min="1294" max="1294" width="5.7109375" style="65" customWidth="1"/>
    <col min="1295" max="1295" width="7" style="65" customWidth="1"/>
    <col min="1296" max="1297" width="5.5703125" style="65" customWidth="1"/>
    <col min="1298" max="1298" width="5.7109375" style="65" customWidth="1"/>
    <col min="1299" max="1299" width="5.28515625" style="65" customWidth="1"/>
    <col min="1300" max="1301" width="0" style="65" hidden="1" customWidth="1"/>
    <col min="1302" max="1302" width="4.85546875" style="65" customWidth="1"/>
    <col min="1303" max="1304" width="0" style="65" hidden="1" customWidth="1"/>
    <col min="1305" max="1305" width="7.7109375" style="65" customWidth="1"/>
    <col min="1306" max="1306" width="4.7109375" style="65" customWidth="1"/>
    <col min="1307" max="1307" width="5.28515625" style="65" customWidth="1"/>
    <col min="1308" max="1308" width="7.5703125" style="65" customWidth="1"/>
    <col min="1309" max="1317" width="0" style="65" hidden="1" customWidth="1"/>
    <col min="1318" max="1536" width="9.140625" style="65"/>
    <col min="1537" max="1537" width="3.28515625" style="65" customWidth="1"/>
    <col min="1538" max="1538" width="14.140625" style="65" customWidth="1"/>
    <col min="1539" max="1539" width="4.7109375" style="65" customWidth="1"/>
    <col min="1540" max="1540" width="3.28515625" style="65" customWidth="1"/>
    <col min="1541" max="1541" width="6.140625" style="65" customWidth="1"/>
    <col min="1542" max="1542" width="7.42578125" style="65" customWidth="1"/>
    <col min="1543" max="1543" width="7" style="65" customWidth="1"/>
    <col min="1544" max="1544" width="5.140625" style="65" customWidth="1"/>
    <col min="1545" max="1545" width="5.28515625" style="65" customWidth="1"/>
    <col min="1546" max="1546" width="5" style="65" customWidth="1"/>
    <col min="1547" max="1547" width="7.5703125" style="65" customWidth="1"/>
    <col min="1548" max="1548" width="5.85546875" style="65" customWidth="1"/>
    <col min="1549" max="1549" width="6.140625" style="65" customWidth="1"/>
    <col min="1550" max="1550" width="5.7109375" style="65" customWidth="1"/>
    <col min="1551" max="1551" width="7" style="65" customWidth="1"/>
    <col min="1552" max="1553" width="5.5703125" style="65" customWidth="1"/>
    <col min="1554" max="1554" width="5.7109375" style="65" customWidth="1"/>
    <col min="1555" max="1555" width="5.28515625" style="65" customWidth="1"/>
    <col min="1556" max="1557" width="0" style="65" hidden="1" customWidth="1"/>
    <col min="1558" max="1558" width="4.85546875" style="65" customWidth="1"/>
    <col min="1559" max="1560" width="0" style="65" hidden="1" customWidth="1"/>
    <col min="1561" max="1561" width="7.7109375" style="65" customWidth="1"/>
    <col min="1562" max="1562" width="4.7109375" style="65" customWidth="1"/>
    <col min="1563" max="1563" width="5.28515625" style="65" customWidth="1"/>
    <col min="1564" max="1564" width="7.5703125" style="65" customWidth="1"/>
    <col min="1565" max="1573" width="0" style="65" hidden="1" customWidth="1"/>
    <col min="1574" max="1792" width="9.140625" style="65"/>
    <col min="1793" max="1793" width="3.28515625" style="65" customWidth="1"/>
    <col min="1794" max="1794" width="14.140625" style="65" customWidth="1"/>
    <col min="1795" max="1795" width="4.7109375" style="65" customWidth="1"/>
    <col min="1796" max="1796" width="3.28515625" style="65" customWidth="1"/>
    <col min="1797" max="1797" width="6.140625" style="65" customWidth="1"/>
    <col min="1798" max="1798" width="7.42578125" style="65" customWidth="1"/>
    <col min="1799" max="1799" width="7" style="65" customWidth="1"/>
    <col min="1800" max="1800" width="5.140625" style="65" customWidth="1"/>
    <col min="1801" max="1801" width="5.28515625" style="65" customWidth="1"/>
    <col min="1802" max="1802" width="5" style="65" customWidth="1"/>
    <col min="1803" max="1803" width="7.5703125" style="65" customWidth="1"/>
    <col min="1804" max="1804" width="5.85546875" style="65" customWidth="1"/>
    <col min="1805" max="1805" width="6.140625" style="65" customWidth="1"/>
    <col min="1806" max="1806" width="5.7109375" style="65" customWidth="1"/>
    <col min="1807" max="1807" width="7" style="65" customWidth="1"/>
    <col min="1808" max="1809" width="5.5703125" style="65" customWidth="1"/>
    <col min="1810" max="1810" width="5.7109375" style="65" customWidth="1"/>
    <col min="1811" max="1811" width="5.28515625" style="65" customWidth="1"/>
    <col min="1812" max="1813" width="0" style="65" hidden="1" customWidth="1"/>
    <col min="1814" max="1814" width="4.85546875" style="65" customWidth="1"/>
    <col min="1815" max="1816" width="0" style="65" hidden="1" customWidth="1"/>
    <col min="1817" max="1817" width="7.7109375" style="65" customWidth="1"/>
    <col min="1818" max="1818" width="4.7109375" style="65" customWidth="1"/>
    <col min="1819" max="1819" width="5.28515625" style="65" customWidth="1"/>
    <col min="1820" max="1820" width="7.5703125" style="65" customWidth="1"/>
    <col min="1821" max="1829" width="0" style="65" hidden="1" customWidth="1"/>
    <col min="1830" max="2048" width="9.140625" style="65"/>
    <col min="2049" max="2049" width="3.28515625" style="65" customWidth="1"/>
    <col min="2050" max="2050" width="14.140625" style="65" customWidth="1"/>
    <col min="2051" max="2051" width="4.7109375" style="65" customWidth="1"/>
    <col min="2052" max="2052" width="3.28515625" style="65" customWidth="1"/>
    <col min="2053" max="2053" width="6.140625" style="65" customWidth="1"/>
    <col min="2054" max="2054" width="7.42578125" style="65" customWidth="1"/>
    <col min="2055" max="2055" width="7" style="65" customWidth="1"/>
    <col min="2056" max="2056" width="5.140625" style="65" customWidth="1"/>
    <col min="2057" max="2057" width="5.28515625" style="65" customWidth="1"/>
    <col min="2058" max="2058" width="5" style="65" customWidth="1"/>
    <col min="2059" max="2059" width="7.5703125" style="65" customWidth="1"/>
    <col min="2060" max="2060" width="5.85546875" style="65" customWidth="1"/>
    <col min="2061" max="2061" width="6.140625" style="65" customWidth="1"/>
    <col min="2062" max="2062" width="5.7109375" style="65" customWidth="1"/>
    <col min="2063" max="2063" width="7" style="65" customWidth="1"/>
    <col min="2064" max="2065" width="5.5703125" style="65" customWidth="1"/>
    <col min="2066" max="2066" width="5.7109375" style="65" customWidth="1"/>
    <col min="2067" max="2067" width="5.28515625" style="65" customWidth="1"/>
    <col min="2068" max="2069" width="0" style="65" hidden="1" customWidth="1"/>
    <col min="2070" max="2070" width="4.85546875" style="65" customWidth="1"/>
    <col min="2071" max="2072" width="0" style="65" hidden="1" customWidth="1"/>
    <col min="2073" max="2073" width="7.7109375" style="65" customWidth="1"/>
    <col min="2074" max="2074" width="4.7109375" style="65" customWidth="1"/>
    <col min="2075" max="2075" width="5.28515625" style="65" customWidth="1"/>
    <col min="2076" max="2076" width="7.5703125" style="65" customWidth="1"/>
    <col min="2077" max="2085" width="0" style="65" hidden="1" customWidth="1"/>
    <col min="2086" max="2304" width="9.140625" style="65"/>
    <col min="2305" max="2305" width="3.28515625" style="65" customWidth="1"/>
    <col min="2306" max="2306" width="14.140625" style="65" customWidth="1"/>
    <col min="2307" max="2307" width="4.7109375" style="65" customWidth="1"/>
    <col min="2308" max="2308" width="3.28515625" style="65" customWidth="1"/>
    <col min="2309" max="2309" width="6.140625" style="65" customWidth="1"/>
    <col min="2310" max="2310" width="7.42578125" style="65" customWidth="1"/>
    <col min="2311" max="2311" width="7" style="65" customWidth="1"/>
    <col min="2312" max="2312" width="5.140625" style="65" customWidth="1"/>
    <col min="2313" max="2313" width="5.28515625" style="65" customWidth="1"/>
    <col min="2314" max="2314" width="5" style="65" customWidth="1"/>
    <col min="2315" max="2315" width="7.5703125" style="65" customWidth="1"/>
    <col min="2316" max="2316" width="5.85546875" style="65" customWidth="1"/>
    <col min="2317" max="2317" width="6.140625" style="65" customWidth="1"/>
    <col min="2318" max="2318" width="5.7109375" style="65" customWidth="1"/>
    <col min="2319" max="2319" width="7" style="65" customWidth="1"/>
    <col min="2320" max="2321" width="5.5703125" style="65" customWidth="1"/>
    <col min="2322" max="2322" width="5.7109375" style="65" customWidth="1"/>
    <col min="2323" max="2323" width="5.28515625" style="65" customWidth="1"/>
    <col min="2324" max="2325" width="0" style="65" hidden="1" customWidth="1"/>
    <col min="2326" max="2326" width="4.85546875" style="65" customWidth="1"/>
    <col min="2327" max="2328" width="0" style="65" hidden="1" customWidth="1"/>
    <col min="2329" max="2329" width="7.7109375" style="65" customWidth="1"/>
    <col min="2330" max="2330" width="4.7109375" style="65" customWidth="1"/>
    <col min="2331" max="2331" width="5.28515625" style="65" customWidth="1"/>
    <col min="2332" max="2332" width="7.5703125" style="65" customWidth="1"/>
    <col min="2333" max="2341" width="0" style="65" hidden="1" customWidth="1"/>
    <col min="2342" max="2560" width="9.140625" style="65"/>
    <col min="2561" max="2561" width="3.28515625" style="65" customWidth="1"/>
    <col min="2562" max="2562" width="14.140625" style="65" customWidth="1"/>
    <col min="2563" max="2563" width="4.7109375" style="65" customWidth="1"/>
    <col min="2564" max="2564" width="3.28515625" style="65" customWidth="1"/>
    <col min="2565" max="2565" width="6.140625" style="65" customWidth="1"/>
    <col min="2566" max="2566" width="7.42578125" style="65" customWidth="1"/>
    <col min="2567" max="2567" width="7" style="65" customWidth="1"/>
    <col min="2568" max="2568" width="5.140625" style="65" customWidth="1"/>
    <col min="2569" max="2569" width="5.28515625" style="65" customWidth="1"/>
    <col min="2570" max="2570" width="5" style="65" customWidth="1"/>
    <col min="2571" max="2571" width="7.5703125" style="65" customWidth="1"/>
    <col min="2572" max="2572" width="5.85546875" style="65" customWidth="1"/>
    <col min="2573" max="2573" width="6.140625" style="65" customWidth="1"/>
    <col min="2574" max="2574" width="5.7109375" style="65" customWidth="1"/>
    <col min="2575" max="2575" width="7" style="65" customWidth="1"/>
    <col min="2576" max="2577" width="5.5703125" style="65" customWidth="1"/>
    <col min="2578" max="2578" width="5.7109375" style="65" customWidth="1"/>
    <col min="2579" max="2579" width="5.28515625" style="65" customWidth="1"/>
    <col min="2580" max="2581" width="0" style="65" hidden="1" customWidth="1"/>
    <col min="2582" max="2582" width="4.85546875" style="65" customWidth="1"/>
    <col min="2583" max="2584" width="0" style="65" hidden="1" customWidth="1"/>
    <col min="2585" max="2585" width="7.7109375" style="65" customWidth="1"/>
    <col min="2586" max="2586" width="4.7109375" style="65" customWidth="1"/>
    <col min="2587" max="2587" width="5.28515625" style="65" customWidth="1"/>
    <col min="2588" max="2588" width="7.5703125" style="65" customWidth="1"/>
    <col min="2589" max="2597" width="0" style="65" hidden="1" customWidth="1"/>
    <col min="2598" max="2816" width="9.140625" style="65"/>
    <col min="2817" max="2817" width="3.28515625" style="65" customWidth="1"/>
    <col min="2818" max="2818" width="14.140625" style="65" customWidth="1"/>
    <col min="2819" max="2819" width="4.7109375" style="65" customWidth="1"/>
    <col min="2820" max="2820" width="3.28515625" style="65" customWidth="1"/>
    <col min="2821" max="2821" width="6.140625" style="65" customWidth="1"/>
    <col min="2822" max="2822" width="7.42578125" style="65" customWidth="1"/>
    <col min="2823" max="2823" width="7" style="65" customWidth="1"/>
    <col min="2824" max="2824" width="5.140625" style="65" customWidth="1"/>
    <col min="2825" max="2825" width="5.28515625" style="65" customWidth="1"/>
    <col min="2826" max="2826" width="5" style="65" customWidth="1"/>
    <col min="2827" max="2827" width="7.5703125" style="65" customWidth="1"/>
    <col min="2828" max="2828" width="5.85546875" style="65" customWidth="1"/>
    <col min="2829" max="2829" width="6.140625" style="65" customWidth="1"/>
    <col min="2830" max="2830" width="5.7109375" style="65" customWidth="1"/>
    <col min="2831" max="2831" width="7" style="65" customWidth="1"/>
    <col min="2832" max="2833" width="5.5703125" style="65" customWidth="1"/>
    <col min="2834" max="2834" width="5.7109375" style="65" customWidth="1"/>
    <col min="2835" max="2835" width="5.28515625" style="65" customWidth="1"/>
    <col min="2836" max="2837" width="0" style="65" hidden="1" customWidth="1"/>
    <col min="2838" max="2838" width="4.85546875" style="65" customWidth="1"/>
    <col min="2839" max="2840" width="0" style="65" hidden="1" customWidth="1"/>
    <col min="2841" max="2841" width="7.7109375" style="65" customWidth="1"/>
    <col min="2842" max="2842" width="4.7109375" style="65" customWidth="1"/>
    <col min="2843" max="2843" width="5.28515625" style="65" customWidth="1"/>
    <col min="2844" max="2844" width="7.5703125" style="65" customWidth="1"/>
    <col min="2845" max="2853" width="0" style="65" hidden="1" customWidth="1"/>
    <col min="2854" max="3072" width="9.140625" style="65"/>
    <col min="3073" max="3073" width="3.28515625" style="65" customWidth="1"/>
    <col min="3074" max="3074" width="14.140625" style="65" customWidth="1"/>
    <col min="3075" max="3075" width="4.7109375" style="65" customWidth="1"/>
    <col min="3076" max="3076" width="3.28515625" style="65" customWidth="1"/>
    <col min="3077" max="3077" width="6.140625" style="65" customWidth="1"/>
    <col min="3078" max="3078" width="7.42578125" style="65" customWidth="1"/>
    <col min="3079" max="3079" width="7" style="65" customWidth="1"/>
    <col min="3080" max="3080" width="5.140625" style="65" customWidth="1"/>
    <col min="3081" max="3081" width="5.28515625" style="65" customWidth="1"/>
    <col min="3082" max="3082" width="5" style="65" customWidth="1"/>
    <col min="3083" max="3083" width="7.5703125" style="65" customWidth="1"/>
    <col min="3084" max="3084" width="5.85546875" style="65" customWidth="1"/>
    <col min="3085" max="3085" width="6.140625" style="65" customWidth="1"/>
    <col min="3086" max="3086" width="5.7109375" style="65" customWidth="1"/>
    <col min="3087" max="3087" width="7" style="65" customWidth="1"/>
    <col min="3088" max="3089" width="5.5703125" style="65" customWidth="1"/>
    <col min="3090" max="3090" width="5.7109375" style="65" customWidth="1"/>
    <col min="3091" max="3091" width="5.28515625" style="65" customWidth="1"/>
    <col min="3092" max="3093" width="0" style="65" hidden="1" customWidth="1"/>
    <col min="3094" max="3094" width="4.85546875" style="65" customWidth="1"/>
    <col min="3095" max="3096" width="0" style="65" hidden="1" customWidth="1"/>
    <col min="3097" max="3097" width="7.7109375" style="65" customWidth="1"/>
    <col min="3098" max="3098" width="4.7109375" style="65" customWidth="1"/>
    <col min="3099" max="3099" width="5.28515625" style="65" customWidth="1"/>
    <col min="3100" max="3100" width="7.5703125" style="65" customWidth="1"/>
    <col min="3101" max="3109" width="0" style="65" hidden="1" customWidth="1"/>
    <col min="3110" max="3328" width="9.140625" style="65"/>
    <col min="3329" max="3329" width="3.28515625" style="65" customWidth="1"/>
    <col min="3330" max="3330" width="14.140625" style="65" customWidth="1"/>
    <col min="3331" max="3331" width="4.7109375" style="65" customWidth="1"/>
    <col min="3332" max="3332" width="3.28515625" style="65" customWidth="1"/>
    <col min="3333" max="3333" width="6.140625" style="65" customWidth="1"/>
    <col min="3334" max="3334" width="7.42578125" style="65" customWidth="1"/>
    <col min="3335" max="3335" width="7" style="65" customWidth="1"/>
    <col min="3336" max="3336" width="5.140625" style="65" customWidth="1"/>
    <col min="3337" max="3337" width="5.28515625" style="65" customWidth="1"/>
    <col min="3338" max="3338" width="5" style="65" customWidth="1"/>
    <col min="3339" max="3339" width="7.5703125" style="65" customWidth="1"/>
    <col min="3340" max="3340" width="5.85546875" style="65" customWidth="1"/>
    <col min="3341" max="3341" width="6.140625" style="65" customWidth="1"/>
    <col min="3342" max="3342" width="5.7109375" style="65" customWidth="1"/>
    <col min="3343" max="3343" width="7" style="65" customWidth="1"/>
    <col min="3344" max="3345" width="5.5703125" style="65" customWidth="1"/>
    <col min="3346" max="3346" width="5.7109375" style="65" customWidth="1"/>
    <col min="3347" max="3347" width="5.28515625" style="65" customWidth="1"/>
    <col min="3348" max="3349" width="0" style="65" hidden="1" customWidth="1"/>
    <col min="3350" max="3350" width="4.85546875" style="65" customWidth="1"/>
    <col min="3351" max="3352" width="0" style="65" hidden="1" customWidth="1"/>
    <col min="3353" max="3353" width="7.7109375" style="65" customWidth="1"/>
    <col min="3354" max="3354" width="4.7109375" style="65" customWidth="1"/>
    <col min="3355" max="3355" width="5.28515625" style="65" customWidth="1"/>
    <col min="3356" max="3356" width="7.5703125" style="65" customWidth="1"/>
    <col min="3357" max="3365" width="0" style="65" hidden="1" customWidth="1"/>
    <col min="3366" max="3584" width="9.140625" style="65"/>
    <col min="3585" max="3585" width="3.28515625" style="65" customWidth="1"/>
    <col min="3586" max="3586" width="14.140625" style="65" customWidth="1"/>
    <col min="3587" max="3587" width="4.7109375" style="65" customWidth="1"/>
    <col min="3588" max="3588" width="3.28515625" style="65" customWidth="1"/>
    <col min="3589" max="3589" width="6.140625" style="65" customWidth="1"/>
    <col min="3590" max="3590" width="7.42578125" style="65" customWidth="1"/>
    <col min="3591" max="3591" width="7" style="65" customWidth="1"/>
    <col min="3592" max="3592" width="5.140625" style="65" customWidth="1"/>
    <col min="3593" max="3593" width="5.28515625" style="65" customWidth="1"/>
    <col min="3594" max="3594" width="5" style="65" customWidth="1"/>
    <col min="3595" max="3595" width="7.5703125" style="65" customWidth="1"/>
    <col min="3596" max="3596" width="5.85546875" style="65" customWidth="1"/>
    <col min="3597" max="3597" width="6.140625" style="65" customWidth="1"/>
    <col min="3598" max="3598" width="5.7109375" style="65" customWidth="1"/>
    <col min="3599" max="3599" width="7" style="65" customWidth="1"/>
    <col min="3600" max="3601" width="5.5703125" style="65" customWidth="1"/>
    <col min="3602" max="3602" width="5.7109375" style="65" customWidth="1"/>
    <col min="3603" max="3603" width="5.28515625" style="65" customWidth="1"/>
    <col min="3604" max="3605" width="0" style="65" hidden="1" customWidth="1"/>
    <col min="3606" max="3606" width="4.85546875" style="65" customWidth="1"/>
    <col min="3607" max="3608" width="0" style="65" hidden="1" customWidth="1"/>
    <col min="3609" max="3609" width="7.7109375" style="65" customWidth="1"/>
    <col min="3610" max="3610" width="4.7109375" style="65" customWidth="1"/>
    <col min="3611" max="3611" width="5.28515625" style="65" customWidth="1"/>
    <col min="3612" max="3612" width="7.5703125" style="65" customWidth="1"/>
    <col min="3613" max="3621" width="0" style="65" hidden="1" customWidth="1"/>
    <col min="3622" max="3840" width="9.140625" style="65"/>
    <col min="3841" max="3841" width="3.28515625" style="65" customWidth="1"/>
    <col min="3842" max="3842" width="14.140625" style="65" customWidth="1"/>
    <col min="3843" max="3843" width="4.7109375" style="65" customWidth="1"/>
    <col min="3844" max="3844" width="3.28515625" style="65" customWidth="1"/>
    <col min="3845" max="3845" width="6.140625" style="65" customWidth="1"/>
    <col min="3846" max="3846" width="7.42578125" style="65" customWidth="1"/>
    <col min="3847" max="3847" width="7" style="65" customWidth="1"/>
    <col min="3848" max="3848" width="5.140625" style="65" customWidth="1"/>
    <col min="3849" max="3849" width="5.28515625" style="65" customWidth="1"/>
    <col min="3850" max="3850" width="5" style="65" customWidth="1"/>
    <col min="3851" max="3851" width="7.5703125" style="65" customWidth="1"/>
    <col min="3852" max="3852" width="5.85546875" style="65" customWidth="1"/>
    <col min="3853" max="3853" width="6.140625" style="65" customWidth="1"/>
    <col min="3854" max="3854" width="5.7109375" style="65" customWidth="1"/>
    <col min="3855" max="3855" width="7" style="65" customWidth="1"/>
    <col min="3856" max="3857" width="5.5703125" style="65" customWidth="1"/>
    <col min="3858" max="3858" width="5.7109375" style="65" customWidth="1"/>
    <col min="3859" max="3859" width="5.28515625" style="65" customWidth="1"/>
    <col min="3860" max="3861" width="0" style="65" hidden="1" customWidth="1"/>
    <col min="3862" max="3862" width="4.85546875" style="65" customWidth="1"/>
    <col min="3863" max="3864" width="0" style="65" hidden="1" customWidth="1"/>
    <col min="3865" max="3865" width="7.7109375" style="65" customWidth="1"/>
    <col min="3866" max="3866" width="4.7109375" style="65" customWidth="1"/>
    <col min="3867" max="3867" width="5.28515625" style="65" customWidth="1"/>
    <col min="3868" max="3868" width="7.5703125" style="65" customWidth="1"/>
    <col min="3869" max="3877" width="0" style="65" hidden="1" customWidth="1"/>
    <col min="3878" max="4096" width="9.140625" style="65"/>
    <col min="4097" max="4097" width="3.28515625" style="65" customWidth="1"/>
    <col min="4098" max="4098" width="14.140625" style="65" customWidth="1"/>
    <col min="4099" max="4099" width="4.7109375" style="65" customWidth="1"/>
    <col min="4100" max="4100" width="3.28515625" style="65" customWidth="1"/>
    <col min="4101" max="4101" width="6.140625" style="65" customWidth="1"/>
    <col min="4102" max="4102" width="7.42578125" style="65" customWidth="1"/>
    <col min="4103" max="4103" width="7" style="65" customWidth="1"/>
    <col min="4104" max="4104" width="5.140625" style="65" customWidth="1"/>
    <col min="4105" max="4105" width="5.28515625" style="65" customWidth="1"/>
    <col min="4106" max="4106" width="5" style="65" customWidth="1"/>
    <col min="4107" max="4107" width="7.5703125" style="65" customWidth="1"/>
    <col min="4108" max="4108" width="5.85546875" style="65" customWidth="1"/>
    <col min="4109" max="4109" width="6.140625" style="65" customWidth="1"/>
    <col min="4110" max="4110" width="5.7109375" style="65" customWidth="1"/>
    <col min="4111" max="4111" width="7" style="65" customWidth="1"/>
    <col min="4112" max="4113" width="5.5703125" style="65" customWidth="1"/>
    <col min="4114" max="4114" width="5.7109375" style="65" customWidth="1"/>
    <col min="4115" max="4115" width="5.28515625" style="65" customWidth="1"/>
    <col min="4116" max="4117" width="0" style="65" hidden="1" customWidth="1"/>
    <col min="4118" max="4118" width="4.85546875" style="65" customWidth="1"/>
    <col min="4119" max="4120" width="0" style="65" hidden="1" customWidth="1"/>
    <col min="4121" max="4121" width="7.7109375" style="65" customWidth="1"/>
    <col min="4122" max="4122" width="4.7109375" style="65" customWidth="1"/>
    <col min="4123" max="4123" width="5.28515625" style="65" customWidth="1"/>
    <col min="4124" max="4124" width="7.5703125" style="65" customWidth="1"/>
    <col min="4125" max="4133" width="0" style="65" hidden="1" customWidth="1"/>
    <col min="4134" max="4352" width="9.140625" style="65"/>
    <col min="4353" max="4353" width="3.28515625" style="65" customWidth="1"/>
    <col min="4354" max="4354" width="14.140625" style="65" customWidth="1"/>
    <col min="4355" max="4355" width="4.7109375" style="65" customWidth="1"/>
    <col min="4356" max="4356" width="3.28515625" style="65" customWidth="1"/>
    <col min="4357" max="4357" width="6.140625" style="65" customWidth="1"/>
    <col min="4358" max="4358" width="7.42578125" style="65" customWidth="1"/>
    <col min="4359" max="4359" width="7" style="65" customWidth="1"/>
    <col min="4360" max="4360" width="5.140625" style="65" customWidth="1"/>
    <col min="4361" max="4361" width="5.28515625" style="65" customWidth="1"/>
    <col min="4362" max="4362" width="5" style="65" customWidth="1"/>
    <col min="4363" max="4363" width="7.5703125" style="65" customWidth="1"/>
    <col min="4364" max="4364" width="5.85546875" style="65" customWidth="1"/>
    <col min="4365" max="4365" width="6.140625" style="65" customWidth="1"/>
    <col min="4366" max="4366" width="5.7109375" style="65" customWidth="1"/>
    <col min="4367" max="4367" width="7" style="65" customWidth="1"/>
    <col min="4368" max="4369" width="5.5703125" style="65" customWidth="1"/>
    <col min="4370" max="4370" width="5.7109375" style="65" customWidth="1"/>
    <col min="4371" max="4371" width="5.28515625" style="65" customWidth="1"/>
    <col min="4372" max="4373" width="0" style="65" hidden="1" customWidth="1"/>
    <col min="4374" max="4374" width="4.85546875" style="65" customWidth="1"/>
    <col min="4375" max="4376" width="0" style="65" hidden="1" customWidth="1"/>
    <col min="4377" max="4377" width="7.7109375" style="65" customWidth="1"/>
    <col min="4378" max="4378" width="4.7109375" style="65" customWidth="1"/>
    <col min="4379" max="4379" width="5.28515625" style="65" customWidth="1"/>
    <col min="4380" max="4380" width="7.5703125" style="65" customWidth="1"/>
    <col min="4381" max="4389" width="0" style="65" hidden="1" customWidth="1"/>
    <col min="4390" max="4608" width="9.140625" style="65"/>
    <col min="4609" max="4609" width="3.28515625" style="65" customWidth="1"/>
    <col min="4610" max="4610" width="14.140625" style="65" customWidth="1"/>
    <col min="4611" max="4611" width="4.7109375" style="65" customWidth="1"/>
    <col min="4612" max="4612" width="3.28515625" style="65" customWidth="1"/>
    <col min="4613" max="4613" width="6.140625" style="65" customWidth="1"/>
    <col min="4614" max="4614" width="7.42578125" style="65" customWidth="1"/>
    <col min="4615" max="4615" width="7" style="65" customWidth="1"/>
    <col min="4616" max="4616" width="5.140625" style="65" customWidth="1"/>
    <col min="4617" max="4617" width="5.28515625" style="65" customWidth="1"/>
    <col min="4618" max="4618" width="5" style="65" customWidth="1"/>
    <col min="4619" max="4619" width="7.5703125" style="65" customWidth="1"/>
    <col min="4620" max="4620" width="5.85546875" style="65" customWidth="1"/>
    <col min="4621" max="4621" width="6.140625" style="65" customWidth="1"/>
    <col min="4622" max="4622" width="5.7109375" style="65" customWidth="1"/>
    <col min="4623" max="4623" width="7" style="65" customWidth="1"/>
    <col min="4624" max="4625" width="5.5703125" style="65" customWidth="1"/>
    <col min="4626" max="4626" width="5.7109375" style="65" customWidth="1"/>
    <col min="4627" max="4627" width="5.28515625" style="65" customWidth="1"/>
    <col min="4628" max="4629" width="0" style="65" hidden="1" customWidth="1"/>
    <col min="4630" max="4630" width="4.85546875" style="65" customWidth="1"/>
    <col min="4631" max="4632" width="0" style="65" hidden="1" customWidth="1"/>
    <col min="4633" max="4633" width="7.7109375" style="65" customWidth="1"/>
    <col min="4634" max="4634" width="4.7109375" style="65" customWidth="1"/>
    <col min="4635" max="4635" width="5.28515625" style="65" customWidth="1"/>
    <col min="4636" max="4636" width="7.5703125" style="65" customWidth="1"/>
    <col min="4637" max="4645" width="0" style="65" hidden="1" customWidth="1"/>
    <col min="4646" max="4864" width="9.140625" style="65"/>
    <col min="4865" max="4865" width="3.28515625" style="65" customWidth="1"/>
    <col min="4866" max="4866" width="14.140625" style="65" customWidth="1"/>
    <col min="4867" max="4867" width="4.7109375" style="65" customWidth="1"/>
    <col min="4868" max="4868" width="3.28515625" style="65" customWidth="1"/>
    <col min="4869" max="4869" width="6.140625" style="65" customWidth="1"/>
    <col min="4870" max="4870" width="7.42578125" style="65" customWidth="1"/>
    <col min="4871" max="4871" width="7" style="65" customWidth="1"/>
    <col min="4872" max="4872" width="5.140625" style="65" customWidth="1"/>
    <col min="4873" max="4873" width="5.28515625" style="65" customWidth="1"/>
    <col min="4874" max="4874" width="5" style="65" customWidth="1"/>
    <col min="4875" max="4875" width="7.5703125" style="65" customWidth="1"/>
    <col min="4876" max="4876" width="5.85546875" style="65" customWidth="1"/>
    <col min="4877" max="4877" width="6.140625" style="65" customWidth="1"/>
    <col min="4878" max="4878" width="5.7109375" style="65" customWidth="1"/>
    <col min="4879" max="4879" width="7" style="65" customWidth="1"/>
    <col min="4880" max="4881" width="5.5703125" style="65" customWidth="1"/>
    <col min="4882" max="4882" width="5.7109375" style="65" customWidth="1"/>
    <col min="4883" max="4883" width="5.28515625" style="65" customWidth="1"/>
    <col min="4884" max="4885" width="0" style="65" hidden="1" customWidth="1"/>
    <col min="4886" max="4886" width="4.85546875" style="65" customWidth="1"/>
    <col min="4887" max="4888" width="0" style="65" hidden="1" customWidth="1"/>
    <col min="4889" max="4889" width="7.7109375" style="65" customWidth="1"/>
    <col min="4890" max="4890" width="4.7109375" style="65" customWidth="1"/>
    <col min="4891" max="4891" width="5.28515625" style="65" customWidth="1"/>
    <col min="4892" max="4892" width="7.5703125" style="65" customWidth="1"/>
    <col min="4893" max="4901" width="0" style="65" hidden="1" customWidth="1"/>
    <col min="4902" max="5120" width="9.140625" style="65"/>
    <col min="5121" max="5121" width="3.28515625" style="65" customWidth="1"/>
    <col min="5122" max="5122" width="14.140625" style="65" customWidth="1"/>
    <col min="5123" max="5123" width="4.7109375" style="65" customWidth="1"/>
    <col min="5124" max="5124" width="3.28515625" style="65" customWidth="1"/>
    <col min="5125" max="5125" width="6.140625" style="65" customWidth="1"/>
    <col min="5126" max="5126" width="7.42578125" style="65" customWidth="1"/>
    <col min="5127" max="5127" width="7" style="65" customWidth="1"/>
    <col min="5128" max="5128" width="5.140625" style="65" customWidth="1"/>
    <col min="5129" max="5129" width="5.28515625" style="65" customWidth="1"/>
    <col min="5130" max="5130" width="5" style="65" customWidth="1"/>
    <col min="5131" max="5131" width="7.5703125" style="65" customWidth="1"/>
    <col min="5132" max="5132" width="5.85546875" style="65" customWidth="1"/>
    <col min="5133" max="5133" width="6.140625" style="65" customWidth="1"/>
    <col min="5134" max="5134" width="5.7109375" style="65" customWidth="1"/>
    <col min="5135" max="5135" width="7" style="65" customWidth="1"/>
    <col min="5136" max="5137" width="5.5703125" style="65" customWidth="1"/>
    <col min="5138" max="5138" width="5.7109375" style="65" customWidth="1"/>
    <col min="5139" max="5139" width="5.28515625" style="65" customWidth="1"/>
    <col min="5140" max="5141" width="0" style="65" hidden="1" customWidth="1"/>
    <col min="5142" max="5142" width="4.85546875" style="65" customWidth="1"/>
    <col min="5143" max="5144" width="0" style="65" hidden="1" customWidth="1"/>
    <col min="5145" max="5145" width="7.7109375" style="65" customWidth="1"/>
    <col min="5146" max="5146" width="4.7109375" style="65" customWidth="1"/>
    <col min="5147" max="5147" width="5.28515625" style="65" customWidth="1"/>
    <col min="5148" max="5148" width="7.5703125" style="65" customWidth="1"/>
    <col min="5149" max="5157" width="0" style="65" hidden="1" customWidth="1"/>
    <col min="5158" max="5376" width="9.140625" style="65"/>
    <col min="5377" max="5377" width="3.28515625" style="65" customWidth="1"/>
    <col min="5378" max="5378" width="14.140625" style="65" customWidth="1"/>
    <col min="5379" max="5379" width="4.7109375" style="65" customWidth="1"/>
    <col min="5380" max="5380" width="3.28515625" style="65" customWidth="1"/>
    <col min="5381" max="5381" width="6.140625" style="65" customWidth="1"/>
    <col min="5382" max="5382" width="7.42578125" style="65" customWidth="1"/>
    <col min="5383" max="5383" width="7" style="65" customWidth="1"/>
    <col min="5384" max="5384" width="5.140625" style="65" customWidth="1"/>
    <col min="5385" max="5385" width="5.28515625" style="65" customWidth="1"/>
    <col min="5386" max="5386" width="5" style="65" customWidth="1"/>
    <col min="5387" max="5387" width="7.5703125" style="65" customWidth="1"/>
    <col min="5388" max="5388" width="5.85546875" style="65" customWidth="1"/>
    <col min="5389" max="5389" width="6.140625" style="65" customWidth="1"/>
    <col min="5390" max="5390" width="5.7109375" style="65" customWidth="1"/>
    <col min="5391" max="5391" width="7" style="65" customWidth="1"/>
    <col min="5392" max="5393" width="5.5703125" style="65" customWidth="1"/>
    <col min="5394" max="5394" width="5.7109375" style="65" customWidth="1"/>
    <col min="5395" max="5395" width="5.28515625" style="65" customWidth="1"/>
    <col min="5396" max="5397" width="0" style="65" hidden="1" customWidth="1"/>
    <col min="5398" max="5398" width="4.85546875" style="65" customWidth="1"/>
    <col min="5399" max="5400" width="0" style="65" hidden="1" customWidth="1"/>
    <col min="5401" max="5401" width="7.7109375" style="65" customWidth="1"/>
    <col min="5402" max="5402" width="4.7109375" style="65" customWidth="1"/>
    <col min="5403" max="5403" width="5.28515625" style="65" customWidth="1"/>
    <col min="5404" max="5404" width="7.5703125" style="65" customWidth="1"/>
    <col min="5405" max="5413" width="0" style="65" hidden="1" customWidth="1"/>
    <col min="5414" max="5632" width="9.140625" style="65"/>
    <col min="5633" max="5633" width="3.28515625" style="65" customWidth="1"/>
    <col min="5634" max="5634" width="14.140625" style="65" customWidth="1"/>
    <col min="5635" max="5635" width="4.7109375" style="65" customWidth="1"/>
    <col min="5636" max="5636" width="3.28515625" style="65" customWidth="1"/>
    <col min="5637" max="5637" width="6.140625" style="65" customWidth="1"/>
    <col min="5638" max="5638" width="7.42578125" style="65" customWidth="1"/>
    <col min="5639" max="5639" width="7" style="65" customWidth="1"/>
    <col min="5640" max="5640" width="5.140625" style="65" customWidth="1"/>
    <col min="5641" max="5641" width="5.28515625" style="65" customWidth="1"/>
    <col min="5642" max="5642" width="5" style="65" customWidth="1"/>
    <col min="5643" max="5643" width="7.5703125" style="65" customWidth="1"/>
    <col min="5644" max="5644" width="5.85546875" style="65" customWidth="1"/>
    <col min="5645" max="5645" width="6.140625" style="65" customWidth="1"/>
    <col min="5646" max="5646" width="5.7109375" style="65" customWidth="1"/>
    <col min="5647" max="5647" width="7" style="65" customWidth="1"/>
    <col min="5648" max="5649" width="5.5703125" style="65" customWidth="1"/>
    <col min="5650" max="5650" width="5.7109375" style="65" customWidth="1"/>
    <col min="5651" max="5651" width="5.28515625" style="65" customWidth="1"/>
    <col min="5652" max="5653" width="0" style="65" hidden="1" customWidth="1"/>
    <col min="5654" max="5654" width="4.85546875" style="65" customWidth="1"/>
    <col min="5655" max="5656" width="0" style="65" hidden="1" customWidth="1"/>
    <col min="5657" max="5657" width="7.7109375" style="65" customWidth="1"/>
    <col min="5658" max="5658" width="4.7109375" style="65" customWidth="1"/>
    <col min="5659" max="5659" width="5.28515625" style="65" customWidth="1"/>
    <col min="5660" max="5660" width="7.5703125" style="65" customWidth="1"/>
    <col min="5661" max="5669" width="0" style="65" hidden="1" customWidth="1"/>
    <col min="5670" max="5888" width="9.140625" style="65"/>
    <col min="5889" max="5889" width="3.28515625" style="65" customWidth="1"/>
    <col min="5890" max="5890" width="14.140625" style="65" customWidth="1"/>
    <col min="5891" max="5891" width="4.7109375" style="65" customWidth="1"/>
    <col min="5892" max="5892" width="3.28515625" style="65" customWidth="1"/>
    <col min="5893" max="5893" width="6.140625" style="65" customWidth="1"/>
    <col min="5894" max="5894" width="7.42578125" style="65" customWidth="1"/>
    <col min="5895" max="5895" width="7" style="65" customWidth="1"/>
    <col min="5896" max="5896" width="5.140625" style="65" customWidth="1"/>
    <col min="5897" max="5897" width="5.28515625" style="65" customWidth="1"/>
    <col min="5898" max="5898" width="5" style="65" customWidth="1"/>
    <col min="5899" max="5899" width="7.5703125" style="65" customWidth="1"/>
    <col min="5900" max="5900" width="5.85546875" style="65" customWidth="1"/>
    <col min="5901" max="5901" width="6.140625" style="65" customWidth="1"/>
    <col min="5902" max="5902" width="5.7109375" style="65" customWidth="1"/>
    <col min="5903" max="5903" width="7" style="65" customWidth="1"/>
    <col min="5904" max="5905" width="5.5703125" style="65" customWidth="1"/>
    <col min="5906" max="5906" width="5.7109375" style="65" customWidth="1"/>
    <col min="5907" max="5907" width="5.28515625" style="65" customWidth="1"/>
    <col min="5908" max="5909" width="0" style="65" hidden="1" customWidth="1"/>
    <col min="5910" max="5910" width="4.85546875" style="65" customWidth="1"/>
    <col min="5911" max="5912" width="0" style="65" hidden="1" customWidth="1"/>
    <col min="5913" max="5913" width="7.7109375" style="65" customWidth="1"/>
    <col min="5914" max="5914" width="4.7109375" style="65" customWidth="1"/>
    <col min="5915" max="5915" width="5.28515625" style="65" customWidth="1"/>
    <col min="5916" max="5916" width="7.5703125" style="65" customWidth="1"/>
    <col min="5917" max="5925" width="0" style="65" hidden="1" customWidth="1"/>
    <col min="5926" max="6144" width="9.140625" style="65"/>
    <col min="6145" max="6145" width="3.28515625" style="65" customWidth="1"/>
    <col min="6146" max="6146" width="14.140625" style="65" customWidth="1"/>
    <col min="6147" max="6147" width="4.7109375" style="65" customWidth="1"/>
    <col min="6148" max="6148" width="3.28515625" style="65" customWidth="1"/>
    <col min="6149" max="6149" width="6.140625" style="65" customWidth="1"/>
    <col min="6150" max="6150" width="7.42578125" style="65" customWidth="1"/>
    <col min="6151" max="6151" width="7" style="65" customWidth="1"/>
    <col min="6152" max="6152" width="5.140625" style="65" customWidth="1"/>
    <col min="6153" max="6153" width="5.28515625" style="65" customWidth="1"/>
    <col min="6154" max="6154" width="5" style="65" customWidth="1"/>
    <col min="6155" max="6155" width="7.5703125" style="65" customWidth="1"/>
    <col min="6156" max="6156" width="5.85546875" style="65" customWidth="1"/>
    <col min="6157" max="6157" width="6.140625" style="65" customWidth="1"/>
    <col min="6158" max="6158" width="5.7109375" style="65" customWidth="1"/>
    <col min="6159" max="6159" width="7" style="65" customWidth="1"/>
    <col min="6160" max="6161" width="5.5703125" style="65" customWidth="1"/>
    <col min="6162" max="6162" width="5.7109375" style="65" customWidth="1"/>
    <col min="6163" max="6163" width="5.28515625" style="65" customWidth="1"/>
    <col min="6164" max="6165" width="0" style="65" hidden="1" customWidth="1"/>
    <col min="6166" max="6166" width="4.85546875" style="65" customWidth="1"/>
    <col min="6167" max="6168" width="0" style="65" hidden="1" customWidth="1"/>
    <col min="6169" max="6169" width="7.7109375" style="65" customWidth="1"/>
    <col min="6170" max="6170" width="4.7109375" style="65" customWidth="1"/>
    <col min="6171" max="6171" width="5.28515625" style="65" customWidth="1"/>
    <col min="6172" max="6172" width="7.5703125" style="65" customWidth="1"/>
    <col min="6173" max="6181" width="0" style="65" hidden="1" customWidth="1"/>
    <col min="6182" max="6400" width="9.140625" style="65"/>
    <col min="6401" max="6401" width="3.28515625" style="65" customWidth="1"/>
    <col min="6402" max="6402" width="14.140625" style="65" customWidth="1"/>
    <col min="6403" max="6403" width="4.7109375" style="65" customWidth="1"/>
    <col min="6404" max="6404" width="3.28515625" style="65" customWidth="1"/>
    <col min="6405" max="6405" width="6.140625" style="65" customWidth="1"/>
    <col min="6406" max="6406" width="7.42578125" style="65" customWidth="1"/>
    <col min="6407" max="6407" width="7" style="65" customWidth="1"/>
    <col min="6408" max="6408" width="5.140625" style="65" customWidth="1"/>
    <col min="6409" max="6409" width="5.28515625" style="65" customWidth="1"/>
    <col min="6410" max="6410" width="5" style="65" customWidth="1"/>
    <col min="6411" max="6411" width="7.5703125" style="65" customWidth="1"/>
    <col min="6412" max="6412" width="5.85546875" style="65" customWidth="1"/>
    <col min="6413" max="6413" width="6.140625" style="65" customWidth="1"/>
    <col min="6414" max="6414" width="5.7109375" style="65" customWidth="1"/>
    <col min="6415" max="6415" width="7" style="65" customWidth="1"/>
    <col min="6416" max="6417" width="5.5703125" style="65" customWidth="1"/>
    <col min="6418" max="6418" width="5.7109375" style="65" customWidth="1"/>
    <col min="6419" max="6419" width="5.28515625" style="65" customWidth="1"/>
    <col min="6420" max="6421" width="0" style="65" hidden="1" customWidth="1"/>
    <col min="6422" max="6422" width="4.85546875" style="65" customWidth="1"/>
    <col min="6423" max="6424" width="0" style="65" hidden="1" customWidth="1"/>
    <col min="6425" max="6425" width="7.7109375" style="65" customWidth="1"/>
    <col min="6426" max="6426" width="4.7109375" style="65" customWidth="1"/>
    <col min="6427" max="6427" width="5.28515625" style="65" customWidth="1"/>
    <col min="6428" max="6428" width="7.5703125" style="65" customWidth="1"/>
    <col min="6429" max="6437" width="0" style="65" hidden="1" customWidth="1"/>
    <col min="6438" max="6656" width="9.140625" style="65"/>
    <col min="6657" max="6657" width="3.28515625" style="65" customWidth="1"/>
    <col min="6658" max="6658" width="14.140625" style="65" customWidth="1"/>
    <col min="6659" max="6659" width="4.7109375" style="65" customWidth="1"/>
    <col min="6660" max="6660" width="3.28515625" style="65" customWidth="1"/>
    <col min="6661" max="6661" width="6.140625" style="65" customWidth="1"/>
    <col min="6662" max="6662" width="7.42578125" style="65" customWidth="1"/>
    <col min="6663" max="6663" width="7" style="65" customWidth="1"/>
    <col min="6664" max="6664" width="5.140625" style="65" customWidth="1"/>
    <col min="6665" max="6665" width="5.28515625" style="65" customWidth="1"/>
    <col min="6666" max="6666" width="5" style="65" customWidth="1"/>
    <col min="6667" max="6667" width="7.5703125" style="65" customWidth="1"/>
    <col min="6668" max="6668" width="5.85546875" style="65" customWidth="1"/>
    <col min="6669" max="6669" width="6.140625" style="65" customWidth="1"/>
    <col min="6670" max="6670" width="5.7109375" style="65" customWidth="1"/>
    <col min="6671" max="6671" width="7" style="65" customWidth="1"/>
    <col min="6672" max="6673" width="5.5703125" style="65" customWidth="1"/>
    <col min="6674" max="6674" width="5.7109375" style="65" customWidth="1"/>
    <col min="6675" max="6675" width="5.28515625" style="65" customWidth="1"/>
    <col min="6676" max="6677" width="0" style="65" hidden="1" customWidth="1"/>
    <col min="6678" max="6678" width="4.85546875" style="65" customWidth="1"/>
    <col min="6679" max="6680" width="0" style="65" hidden="1" customWidth="1"/>
    <col min="6681" max="6681" width="7.7109375" style="65" customWidth="1"/>
    <col min="6682" max="6682" width="4.7109375" style="65" customWidth="1"/>
    <col min="6683" max="6683" width="5.28515625" style="65" customWidth="1"/>
    <col min="6684" max="6684" width="7.5703125" style="65" customWidth="1"/>
    <col min="6685" max="6693" width="0" style="65" hidden="1" customWidth="1"/>
    <col min="6694" max="6912" width="9.140625" style="65"/>
    <col min="6913" max="6913" width="3.28515625" style="65" customWidth="1"/>
    <col min="6914" max="6914" width="14.140625" style="65" customWidth="1"/>
    <col min="6915" max="6915" width="4.7109375" style="65" customWidth="1"/>
    <col min="6916" max="6916" width="3.28515625" style="65" customWidth="1"/>
    <col min="6917" max="6917" width="6.140625" style="65" customWidth="1"/>
    <col min="6918" max="6918" width="7.42578125" style="65" customWidth="1"/>
    <col min="6919" max="6919" width="7" style="65" customWidth="1"/>
    <col min="6920" max="6920" width="5.140625" style="65" customWidth="1"/>
    <col min="6921" max="6921" width="5.28515625" style="65" customWidth="1"/>
    <col min="6922" max="6922" width="5" style="65" customWidth="1"/>
    <col min="6923" max="6923" width="7.5703125" style="65" customWidth="1"/>
    <col min="6924" max="6924" width="5.85546875" style="65" customWidth="1"/>
    <col min="6925" max="6925" width="6.140625" style="65" customWidth="1"/>
    <col min="6926" max="6926" width="5.7109375" style="65" customWidth="1"/>
    <col min="6927" max="6927" width="7" style="65" customWidth="1"/>
    <col min="6928" max="6929" width="5.5703125" style="65" customWidth="1"/>
    <col min="6930" max="6930" width="5.7109375" style="65" customWidth="1"/>
    <col min="6931" max="6931" width="5.28515625" style="65" customWidth="1"/>
    <col min="6932" max="6933" width="0" style="65" hidden="1" customWidth="1"/>
    <col min="6934" max="6934" width="4.85546875" style="65" customWidth="1"/>
    <col min="6935" max="6936" width="0" style="65" hidden="1" customWidth="1"/>
    <col min="6937" max="6937" width="7.7109375" style="65" customWidth="1"/>
    <col min="6938" max="6938" width="4.7109375" style="65" customWidth="1"/>
    <col min="6939" max="6939" width="5.28515625" style="65" customWidth="1"/>
    <col min="6940" max="6940" width="7.5703125" style="65" customWidth="1"/>
    <col min="6941" max="6949" width="0" style="65" hidden="1" customWidth="1"/>
    <col min="6950" max="7168" width="9.140625" style="65"/>
    <col min="7169" max="7169" width="3.28515625" style="65" customWidth="1"/>
    <col min="7170" max="7170" width="14.140625" style="65" customWidth="1"/>
    <col min="7171" max="7171" width="4.7109375" style="65" customWidth="1"/>
    <col min="7172" max="7172" width="3.28515625" style="65" customWidth="1"/>
    <col min="7173" max="7173" width="6.140625" style="65" customWidth="1"/>
    <col min="7174" max="7174" width="7.42578125" style="65" customWidth="1"/>
    <col min="7175" max="7175" width="7" style="65" customWidth="1"/>
    <col min="7176" max="7176" width="5.140625" style="65" customWidth="1"/>
    <col min="7177" max="7177" width="5.28515625" style="65" customWidth="1"/>
    <col min="7178" max="7178" width="5" style="65" customWidth="1"/>
    <col min="7179" max="7179" width="7.5703125" style="65" customWidth="1"/>
    <col min="7180" max="7180" width="5.85546875" style="65" customWidth="1"/>
    <col min="7181" max="7181" width="6.140625" style="65" customWidth="1"/>
    <col min="7182" max="7182" width="5.7109375" style="65" customWidth="1"/>
    <col min="7183" max="7183" width="7" style="65" customWidth="1"/>
    <col min="7184" max="7185" width="5.5703125" style="65" customWidth="1"/>
    <col min="7186" max="7186" width="5.7109375" style="65" customWidth="1"/>
    <col min="7187" max="7187" width="5.28515625" style="65" customWidth="1"/>
    <col min="7188" max="7189" width="0" style="65" hidden="1" customWidth="1"/>
    <col min="7190" max="7190" width="4.85546875" style="65" customWidth="1"/>
    <col min="7191" max="7192" width="0" style="65" hidden="1" customWidth="1"/>
    <col min="7193" max="7193" width="7.7109375" style="65" customWidth="1"/>
    <col min="7194" max="7194" width="4.7109375" style="65" customWidth="1"/>
    <col min="7195" max="7195" width="5.28515625" style="65" customWidth="1"/>
    <col min="7196" max="7196" width="7.5703125" style="65" customWidth="1"/>
    <col min="7197" max="7205" width="0" style="65" hidden="1" customWidth="1"/>
    <col min="7206" max="7424" width="9.140625" style="65"/>
    <col min="7425" max="7425" width="3.28515625" style="65" customWidth="1"/>
    <col min="7426" max="7426" width="14.140625" style="65" customWidth="1"/>
    <col min="7427" max="7427" width="4.7109375" style="65" customWidth="1"/>
    <col min="7428" max="7428" width="3.28515625" style="65" customWidth="1"/>
    <col min="7429" max="7429" width="6.140625" style="65" customWidth="1"/>
    <col min="7430" max="7430" width="7.42578125" style="65" customWidth="1"/>
    <col min="7431" max="7431" width="7" style="65" customWidth="1"/>
    <col min="7432" max="7432" width="5.140625" style="65" customWidth="1"/>
    <col min="7433" max="7433" width="5.28515625" style="65" customWidth="1"/>
    <col min="7434" max="7434" width="5" style="65" customWidth="1"/>
    <col min="7435" max="7435" width="7.5703125" style="65" customWidth="1"/>
    <col min="7436" max="7436" width="5.85546875" style="65" customWidth="1"/>
    <col min="7437" max="7437" width="6.140625" style="65" customWidth="1"/>
    <col min="7438" max="7438" width="5.7109375" style="65" customWidth="1"/>
    <col min="7439" max="7439" width="7" style="65" customWidth="1"/>
    <col min="7440" max="7441" width="5.5703125" style="65" customWidth="1"/>
    <col min="7442" max="7442" width="5.7109375" style="65" customWidth="1"/>
    <col min="7443" max="7443" width="5.28515625" style="65" customWidth="1"/>
    <col min="7444" max="7445" width="0" style="65" hidden="1" customWidth="1"/>
    <col min="7446" max="7446" width="4.85546875" style="65" customWidth="1"/>
    <col min="7447" max="7448" width="0" style="65" hidden="1" customWidth="1"/>
    <col min="7449" max="7449" width="7.7109375" style="65" customWidth="1"/>
    <col min="7450" max="7450" width="4.7109375" style="65" customWidth="1"/>
    <col min="7451" max="7451" width="5.28515625" style="65" customWidth="1"/>
    <col min="7452" max="7452" width="7.5703125" style="65" customWidth="1"/>
    <col min="7453" max="7461" width="0" style="65" hidden="1" customWidth="1"/>
    <col min="7462" max="7680" width="9.140625" style="65"/>
    <col min="7681" max="7681" width="3.28515625" style="65" customWidth="1"/>
    <col min="7682" max="7682" width="14.140625" style="65" customWidth="1"/>
    <col min="7683" max="7683" width="4.7109375" style="65" customWidth="1"/>
    <col min="7684" max="7684" width="3.28515625" style="65" customWidth="1"/>
    <col min="7685" max="7685" width="6.140625" style="65" customWidth="1"/>
    <col min="7686" max="7686" width="7.42578125" style="65" customWidth="1"/>
    <col min="7687" max="7687" width="7" style="65" customWidth="1"/>
    <col min="7688" max="7688" width="5.140625" style="65" customWidth="1"/>
    <col min="7689" max="7689" width="5.28515625" style="65" customWidth="1"/>
    <col min="7690" max="7690" width="5" style="65" customWidth="1"/>
    <col min="7691" max="7691" width="7.5703125" style="65" customWidth="1"/>
    <col min="7692" max="7692" width="5.85546875" style="65" customWidth="1"/>
    <col min="7693" max="7693" width="6.140625" style="65" customWidth="1"/>
    <col min="7694" max="7694" width="5.7109375" style="65" customWidth="1"/>
    <col min="7695" max="7695" width="7" style="65" customWidth="1"/>
    <col min="7696" max="7697" width="5.5703125" style="65" customWidth="1"/>
    <col min="7698" max="7698" width="5.7109375" style="65" customWidth="1"/>
    <col min="7699" max="7699" width="5.28515625" style="65" customWidth="1"/>
    <col min="7700" max="7701" width="0" style="65" hidden="1" customWidth="1"/>
    <col min="7702" max="7702" width="4.85546875" style="65" customWidth="1"/>
    <col min="7703" max="7704" width="0" style="65" hidden="1" customWidth="1"/>
    <col min="7705" max="7705" width="7.7109375" style="65" customWidth="1"/>
    <col min="7706" max="7706" width="4.7109375" style="65" customWidth="1"/>
    <col min="7707" max="7707" width="5.28515625" style="65" customWidth="1"/>
    <col min="7708" max="7708" width="7.5703125" style="65" customWidth="1"/>
    <col min="7709" max="7717" width="0" style="65" hidden="1" customWidth="1"/>
    <col min="7718" max="7936" width="9.140625" style="65"/>
    <col min="7937" max="7937" width="3.28515625" style="65" customWidth="1"/>
    <col min="7938" max="7938" width="14.140625" style="65" customWidth="1"/>
    <col min="7939" max="7939" width="4.7109375" style="65" customWidth="1"/>
    <col min="7940" max="7940" width="3.28515625" style="65" customWidth="1"/>
    <col min="7941" max="7941" width="6.140625" style="65" customWidth="1"/>
    <col min="7942" max="7942" width="7.42578125" style="65" customWidth="1"/>
    <col min="7943" max="7943" width="7" style="65" customWidth="1"/>
    <col min="7944" max="7944" width="5.140625" style="65" customWidth="1"/>
    <col min="7945" max="7945" width="5.28515625" style="65" customWidth="1"/>
    <col min="7946" max="7946" width="5" style="65" customWidth="1"/>
    <col min="7947" max="7947" width="7.5703125" style="65" customWidth="1"/>
    <col min="7948" max="7948" width="5.85546875" style="65" customWidth="1"/>
    <col min="7949" max="7949" width="6.140625" style="65" customWidth="1"/>
    <col min="7950" max="7950" width="5.7109375" style="65" customWidth="1"/>
    <col min="7951" max="7951" width="7" style="65" customWidth="1"/>
    <col min="7952" max="7953" width="5.5703125" style="65" customWidth="1"/>
    <col min="7954" max="7954" width="5.7109375" style="65" customWidth="1"/>
    <col min="7955" max="7955" width="5.28515625" style="65" customWidth="1"/>
    <col min="7956" max="7957" width="0" style="65" hidden="1" customWidth="1"/>
    <col min="7958" max="7958" width="4.85546875" style="65" customWidth="1"/>
    <col min="7959" max="7960" width="0" style="65" hidden="1" customWidth="1"/>
    <col min="7961" max="7961" width="7.7109375" style="65" customWidth="1"/>
    <col min="7962" max="7962" width="4.7109375" style="65" customWidth="1"/>
    <col min="7963" max="7963" width="5.28515625" style="65" customWidth="1"/>
    <col min="7964" max="7964" width="7.5703125" style="65" customWidth="1"/>
    <col min="7965" max="7973" width="0" style="65" hidden="1" customWidth="1"/>
    <col min="7974" max="8192" width="9.140625" style="65"/>
    <col min="8193" max="8193" width="3.28515625" style="65" customWidth="1"/>
    <col min="8194" max="8194" width="14.140625" style="65" customWidth="1"/>
    <col min="8195" max="8195" width="4.7109375" style="65" customWidth="1"/>
    <col min="8196" max="8196" width="3.28515625" style="65" customWidth="1"/>
    <col min="8197" max="8197" width="6.140625" style="65" customWidth="1"/>
    <col min="8198" max="8198" width="7.42578125" style="65" customWidth="1"/>
    <col min="8199" max="8199" width="7" style="65" customWidth="1"/>
    <col min="8200" max="8200" width="5.140625" style="65" customWidth="1"/>
    <col min="8201" max="8201" width="5.28515625" style="65" customWidth="1"/>
    <col min="8202" max="8202" width="5" style="65" customWidth="1"/>
    <col min="8203" max="8203" width="7.5703125" style="65" customWidth="1"/>
    <col min="8204" max="8204" width="5.85546875" style="65" customWidth="1"/>
    <col min="8205" max="8205" width="6.140625" style="65" customWidth="1"/>
    <col min="8206" max="8206" width="5.7109375" style="65" customWidth="1"/>
    <col min="8207" max="8207" width="7" style="65" customWidth="1"/>
    <col min="8208" max="8209" width="5.5703125" style="65" customWidth="1"/>
    <col min="8210" max="8210" width="5.7109375" style="65" customWidth="1"/>
    <col min="8211" max="8211" width="5.28515625" style="65" customWidth="1"/>
    <col min="8212" max="8213" width="0" style="65" hidden="1" customWidth="1"/>
    <col min="8214" max="8214" width="4.85546875" style="65" customWidth="1"/>
    <col min="8215" max="8216" width="0" style="65" hidden="1" customWidth="1"/>
    <col min="8217" max="8217" width="7.7109375" style="65" customWidth="1"/>
    <col min="8218" max="8218" width="4.7109375" style="65" customWidth="1"/>
    <col min="8219" max="8219" width="5.28515625" style="65" customWidth="1"/>
    <col min="8220" max="8220" width="7.5703125" style="65" customWidth="1"/>
    <col min="8221" max="8229" width="0" style="65" hidden="1" customWidth="1"/>
    <col min="8230" max="8448" width="9.140625" style="65"/>
    <col min="8449" max="8449" width="3.28515625" style="65" customWidth="1"/>
    <col min="8450" max="8450" width="14.140625" style="65" customWidth="1"/>
    <col min="8451" max="8451" width="4.7109375" style="65" customWidth="1"/>
    <col min="8452" max="8452" width="3.28515625" style="65" customWidth="1"/>
    <col min="8453" max="8453" width="6.140625" style="65" customWidth="1"/>
    <col min="8454" max="8454" width="7.42578125" style="65" customWidth="1"/>
    <col min="8455" max="8455" width="7" style="65" customWidth="1"/>
    <col min="8456" max="8456" width="5.140625" style="65" customWidth="1"/>
    <col min="8457" max="8457" width="5.28515625" style="65" customWidth="1"/>
    <col min="8458" max="8458" width="5" style="65" customWidth="1"/>
    <col min="8459" max="8459" width="7.5703125" style="65" customWidth="1"/>
    <col min="8460" max="8460" width="5.85546875" style="65" customWidth="1"/>
    <col min="8461" max="8461" width="6.140625" style="65" customWidth="1"/>
    <col min="8462" max="8462" width="5.7109375" style="65" customWidth="1"/>
    <col min="8463" max="8463" width="7" style="65" customWidth="1"/>
    <col min="8464" max="8465" width="5.5703125" style="65" customWidth="1"/>
    <col min="8466" max="8466" width="5.7109375" style="65" customWidth="1"/>
    <col min="8467" max="8467" width="5.28515625" style="65" customWidth="1"/>
    <col min="8468" max="8469" width="0" style="65" hidden="1" customWidth="1"/>
    <col min="8470" max="8470" width="4.85546875" style="65" customWidth="1"/>
    <col min="8471" max="8472" width="0" style="65" hidden="1" customWidth="1"/>
    <col min="8473" max="8473" width="7.7109375" style="65" customWidth="1"/>
    <col min="8474" max="8474" width="4.7109375" style="65" customWidth="1"/>
    <col min="8475" max="8475" width="5.28515625" style="65" customWidth="1"/>
    <col min="8476" max="8476" width="7.5703125" style="65" customWidth="1"/>
    <col min="8477" max="8485" width="0" style="65" hidden="1" customWidth="1"/>
    <col min="8486" max="8704" width="9.140625" style="65"/>
    <col min="8705" max="8705" width="3.28515625" style="65" customWidth="1"/>
    <col min="8706" max="8706" width="14.140625" style="65" customWidth="1"/>
    <col min="8707" max="8707" width="4.7109375" style="65" customWidth="1"/>
    <col min="8708" max="8708" width="3.28515625" style="65" customWidth="1"/>
    <col min="8709" max="8709" width="6.140625" style="65" customWidth="1"/>
    <col min="8710" max="8710" width="7.42578125" style="65" customWidth="1"/>
    <col min="8711" max="8711" width="7" style="65" customWidth="1"/>
    <col min="8712" max="8712" width="5.140625" style="65" customWidth="1"/>
    <col min="8713" max="8713" width="5.28515625" style="65" customWidth="1"/>
    <col min="8714" max="8714" width="5" style="65" customWidth="1"/>
    <col min="8715" max="8715" width="7.5703125" style="65" customWidth="1"/>
    <col min="8716" max="8716" width="5.85546875" style="65" customWidth="1"/>
    <col min="8717" max="8717" width="6.140625" style="65" customWidth="1"/>
    <col min="8718" max="8718" width="5.7109375" style="65" customWidth="1"/>
    <col min="8719" max="8719" width="7" style="65" customWidth="1"/>
    <col min="8720" max="8721" width="5.5703125" style="65" customWidth="1"/>
    <col min="8722" max="8722" width="5.7109375" style="65" customWidth="1"/>
    <col min="8723" max="8723" width="5.28515625" style="65" customWidth="1"/>
    <col min="8724" max="8725" width="0" style="65" hidden="1" customWidth="1"/>
    <col min="8726" max="8726" width="4.85546875" style="65" customWidth="1"/>
    <col min="8727" max="8728" width="0" style="65" hidden="1" customWidth="1"/>
    <col min="8729" max="8729" width="7.7109375" style="65" customWidth="1"/>
    <col min="8730" max="8730" width="4.7109375" style="65" customWidth="1"/>
    <col min="8731" max="8731" width="5.28515625" style="65" customWidth="1"/>
    <col min="8732" max="8732" width="7.5703125" style="65" customWidth="1"/>
    <col min="8733" max="8741" width="0" style="65" hidden="1" customWidth="1"/>
    <col min="8742" max="8960" width="9.140625" style="65"/>
    <col min="8961" max="8961" width="3.28515625" style="65" customWidth="1"/>
    <col min="8962" max="8962" width="14.140625" style="65" customWidth="1"/>
    <col min="8963" max="8963" width="4.7109375" style="65" customWidth="1"/>
    <col min="8964" max="8964" width="3.28515625" style="65" customWidth="1"/>
    <col min="8965" max="8965" width="6.140625" style="65" customWidth="1"/>
    <col min="8966" max="8966" width="7.42578125" style="65" customWidth="1"/>
    <col min="8967" max="8967" width="7" style="65" customWidth="1"/>
    <col min="8968" max="8968" width="5.140625" style="65" customWidth="1"/>
    <col min="8969" max="8969" width="5.28515625" style="65" customWidth="1"/>
    <col min="8970" max="8970" width="5" style="65" customWidth="1"/>
    <col min="8971" max="8971" width="7.5703125" style="65" customWidth="1"/>
    <col min="8972" max="8972" width="5.85546875" style="65" customWidth="1"/>
    <col min="8973" max="8973" width="6.140625" style="65" customWidth="1"/>
    <col min="8974" max="8974" width="5.7109375" style="65" customWidth="1"/>
    <col min="8975" max="8975" width="7" style="65" customWidth="1"/>
    <col min="8976" max="8977" width="5.5703125" style="65" customWidth="1"/>
    <col min="8978" max="8978" width="5.7109375" style="65" customWidth="1"/>
    <col min="8979" max="8979" width="5.28515625" style="65" customWidth="1"/>
    <col min="8980" max="8981" width="0" style="65" hidden="1" customWidth="1"/>
    <col min="8982" max="8982" width="4.85546875" style="65" customWidth="1"/>
    <col min="8983" max="8984" width="0" style="65" hidden="1" customWidth="1"/>
    <col min="8985" max="8985" width="7.7109375" style="65" customWidth="1"/>
    <col min="8986" max="8986" width="4.7109375" style="65" customWidth="1"/>
    <col min="8987" max="8987" width="5.28515625" style="65" customWidth="1"/>
    <col min="8988" max="8988" width="7.5703125" style="65" customWidth="1"/>
    <col min="8989" max="8997" width="0" style="65" hidden="1" customWidth="1"/>
    <col min="8998" max="9216" width="9.140625" style="65"/>
    <col min="9217" max="9217" width="3.28515625" style="65" customWidth="1"/>
    <col min="9218" max="9218" width="14.140625" style="65" customWidth="1"/>
    <col min="9219" max="9219" width="4.7109375" style="65" customWidth="1"/>
    <col min="9220" max="9220" width="3.28515625" style="65" customWidth="1"/>
    <col min="9221" max="9221" width="6.140625" style="65" customWidth="1"/>
    <col min="9222" max="9222" width="7.42578125" style="65" customWidth="1"/>
    <col min="9223" max="9223" width="7" style="65" customWidth="1"/>
    <col min="9224" max="9224" width="5.140625" style="65" customWidth="1"/>
    <col min="9225" max="9225" width="5.28515625" style="65" customWidth="1"/>
    <col min="9226" max="9226" width="5" style="65" customWidth="1"/>
    <col min="9227" max="9227" width="7.5703125" style="65" customWidth="1"/>
    <col min="9228" max="9228" width="5.85546875" style="65" customWidth="1"/>
    <col min="9229" max="9229" width="6.140625" style="65" customWidth="1"/>
    <col min="9230" max="9230" width="5.7109375" style="65" customWidth="1"/>
    <col min="9231" max="9231" width="7" style="65" customWidth="1"/>
    <col min="9232" max="9233" width="5.5703125" style="65" customWidth="1"/>
    <col min="9234" max="9234" width="5.7109375" style="65" customWidth="1"/>
    <col min="9235" max="9235" width="5.28515625" style="65" customWidth="1"/>
    <col min="9236" max="9237" width="0" style="65" hidden="1" customWidth="1"/>
    <col min="9238" max="9238" width="4.85546875" style="65" customWidth="1"/>
    <col min="9239" max="9240" width="0" style="65" hidden="1" customWidth="1"/>
    <col min="9241" max="9241" width="7.7109375" style="65" customWidth="1"/>
    <col min="9242" max="9242" width="4.7109375" style="65" customWidth="1"/>
    <col min="9243" max="9243" width="5.28515625" style="65" customWidth="1"/>
    <col min="9244" max="9244" width="7.5703125" style="65" customWidth="1"/>
    <col min="9245" max="9253" width="0" style="65" hidden="1" customWidth="1"/>
    <col min="9254" max="9472" width="9.140625" style="65"/>
    <col min="9473" max="9473" width="3.28515625" style="65" customWidth="1"/>
    <col min="9474" max="9474" width="14.140625" style="65" customWidth="1"/>
    <col min="9475" max="9475" width="4.7109375" style="65" customWidth="1"/>
    <col min="9476" max="9476" width="3.28515625" style="65" customWidth="1"/>
    <col min="9477" max="9477" width="6.140625" style="65" customWidth="1"/>
    <col min="9478" max="9478" width="7.42578125" style="65" customWidth="1"/>
    <col min="9479" max="9479" width="7" style="65" customWidth="1"/>
    <col min="9480" max="9480" width="5.140625" style="65" customWidth="1"/>
    <col min="9481" max="9481" width="5.28515625" style="65" customWidth="1"/>
    <col min="9482" max="9482" width="5" style="65" customWidth="1"/>
    <col min="9483" max="9483" width="7.5703125" style="65" customWidth="1"/>
    <col min="9484" max="9484" width="5.85546875" style="65" customWidth="1"/>
    <col min="9485" max="9485" width="6.140625" style="65" customWidth="1"/>
    <col min="9486" max="9486" width="5.7109375" style="65" customWidth="1"/>
    <col min="9487" max="9487" width="7" style="65" customWidth="1"/>
    <col min="9488" max="9489" width="5.5703125" style="65" customWidth="1"/>
    <col min="9490" max="9490" width="5.7109375" style="65" customWidth="1"/>
    <col min="9491" max="9491" width="5.28515625" style="65" customWidth="1"/>
    <col min="9492" max="9493" width="0" style="65" hidden="1" customWidth="1"/>
    <col min="9494" max="9494" width="4.85546875" style="65" customWidth="1"/>
    <col min="9495" max="9496" width="0" style="65" hidden="1" customWidth="1"/>
    <col min="9497" max="9497" width="7.7109375" style="65" customWidth="1"/>
    <col min="9498" max="9498" width="4.7109375" style="65" customWidth="1"/>
    <col min="9499" max="9499" width="5.28515625" style="65" customWidth="1"/>
    <col min="9500" max="9500" width="7.5703125" style="65" customWidth="1"/>
    <col min="9501" max="9509" width="0" style="65" hidden="1" customWidth="1"/>
    <col min="9510" max="9728" width="9.140625" style="65"/>
    <col min="9729" max="9729" width="3.28515625" style="65" customWidth="1"/>
    <col min="9730" max="9730" width="14.140625" style="65" customWidth="1"/>
    <col min="9731" max="9731" width="4.7109375" style="65" customWidth="1"/>
    <col min="9732" max="9732" width="3.28515625" style="65" customWidth="1"/>
    <col min="9733" max="9733" width="6.140625" style="65" customWidth="1"/>
    <col min="9734" max="9734" width="7.42578125" style="65" customWidth="1"/>
    <col min="9735" max="9735" width="7" style="65" customWidth="1"/>
    <col min="9736" max="9736" width="5.140625" style="65" customWidth="1"/>
    <col min="9737" max="9737" width="5.28515625" style="65" customWidth="1"/>
    <col min="9738" max="9738" width="5" style="65" customWidth="1"/>
    <col min="9739" max="9739" width="7.5703125" style="65" customWidth="1"/>
    <col min="9740" max="9740" width="5.85546875" style="65" customWidth="1"/>
    <col min="9741" max="9741" width="6.140625" style="65" customWidth="1"/>
    <col min="9742" max="9742" width="5.7109375" style="65" customWidth="1"/>
    <col min="9743" max="9743" width="7" style="65" customWidth="1"/>
    <col min="9744" max="9745" width="5.5703125" style="65" customWidth="1"/>
    <col min="9746" max="9746" width="5.7109375" style="65" customWidth="1"/>
    <col min="9747" max="9747" width="5.28515625" style="65" customWidth="1"/>
    <col min="9748" max="9749" width="0" style="65" hidden="1" customWidth="1"/>
    <col min="9750" max="9750" width="4.85546875" style="65" customWidth="1"/>
    <col min="9751" max="9752" width="0" style="65" hidden="1" customWidth="1"/>
    <col min="9753" max="9753" width="7.7109375" style="65" customWidth="1"/>
    <col min="9754" max="9754" width="4.7109375" style="65" customWidth="1"/>
    <col min="9755" max="9755" width="5.28515625" style="65" customWidth="1"/>
    <col min="9756" max="9756" width="7.5703125" style="65" customWidth="1"/>
    <col min="9757" max="9765" width="0" style="65" hidden="1" customWidth="1"/>
    <col min="9766" max="9984" width="9.140625" style="65"/>
    <col min="9985" max="9985" width="3.28515625" style="65" customWidth="1"/>
    <col min="9986" max="9986" width="14.140625" style="65" customWidth="1"/>
    <col min="9987" max="9987" width="4.7109375" style="65" customWidth="1"/>
    <col min="9988" max="9988" width="3.28515625" style="65" customWidth="1"/>
    <col min="9989" max="9989" width="6.140625" style="65" customWidth="1"/>
    <col min="9990" max="9990" width="7.42578125" style="65" customWidth="1"/>
    <col min="9991" max="9991" width="7" style="65" customWidth="1"/>
    <col min="9992" max="9992" width="5.140625" style="65" customWidth="1"/>
    <col min="9993" max="9993" width="5.28515625" style="65" customWidth="1"/>
    <col min="9994" max="9994" width="5" style="65" customWidth="1"/>
    <col min="9995" max="9995" width="7.5703125" style="65" customWidth="1"/>
    <col min="9996" max="9996" width="5.85546875" style="65" customWidth="1"/>
    <col min="9997" max="9997" width="6.140625" style="65" customWidth="1"/>
    <col min="9998" max="9998" width="5.7109375" style="65" customWidth="1"/>
    <col min="9999" max="9999" width="7" style="65" customWidth="1"/>
    <col min="10000" max="10001" width="5.5703125" style="65" customWidth="1"/>
    <col min="10002" max="10002" width="5.7109375" style="65" customWidth="1"/>
    <col min="10003" max="10003" width="5.28515625" style="65" customWidth="1"/>
    <col min="10004" max="10005" width="0" style="65" hidden="1" customWidth="1"/>
    <col min="10006" max="10006" width="4.85546875" style="65" customWidth="1"/>
    <col min="10007" max="10008" width="0" style="65" hidden="1" customWidth="1"/>
    <col min="10009" max="10009" width="7.7109375" style="65" customWidth="1"/>
    <col min="10010" max="10010" width="4.7109375" style="65" customWidth="1"/>
    <col min="10011" max="10011" width="5.28515625" style="65" customWidth="1"/>
    <col min="10012" max="10012" width="7.5703125" style="65" customWidth="1"/>
    <col min="10013" max="10021" width="0" style="65" hidden="1" customWidth="1"/>
    <col min="10022" max="10240" width="9.140625" style="65"/>
    <col min="10241" max="10241" width="3.28515625" style="65" customWidth="1"/>
    <col min="10242" max="10242" width="14.140625" style="65" customWidth="1"/>
    <col min="10243" max="10243" width="4.7109375" style="65" customWidth="1"/>
    <col min="10244" max="10244" width="3.28515625" style="65" customWidth="1"/>
    <col min="10245" max="10245" width="6.140625" style="65" customWidth="1"/>
    <col min="10246" max="10246" width="7.42578125" style="65" customWidth="1"/>
    <col min="10247" max="10247" width="7" style="65" customWidth="1"/>
    <col min="10248" max="10248" width="5.140625" style="65" customWidth="1"/>
    <col min="10249" max="10249" width="5.28515625" style="65" customWidth="1"/>
    <col min="10250" max="10250" width="5" style="65" customWidth="1"/>
    <col min="10251" max="10251" width="7.5703125" style="65" customWidth="1"/>
    <col min="10252" max="10252" width="5.85546875" style="65" customWidth="1"/>
    <col min="10253" max="10253" width="6.140625" style="65" customWidth="1"/>
    <col min="10254" max="10254" width="5.7109375" style="65" customWidth="1"/>
    <col min="10255" max="10255" width="7" style="65" customWidth="1"/>
    <col min="10256" max="10257" width="5.5703125" style="65" customWidth="1"/>
    <col min="10258" max="10258" width="5.7109375" style="65" customWidth="1"/>
    <col min="10259" max="10259" width="5.28515625" style="65" customWidth="1"/>
    <col min="10260" max="10261" width="0" style="65" hidden="1" customWidth="1"/>
    <col min="10262" max="10262" width="4.85546875" style="65" customWidth="1"/>
    <col min="10263" max="10264" width="0" style="65" hidden="1" customWidth="1"/>
    <col min="10265" max="10265" width="7.7109375" style="65" customWidth="1"/>
    <col min="10266" max="10266" width="4.7109375" style="65" customWidth="1"/>
    <col min="10267" max="10267" width="5.28515625" style="65" customWidth="1"/>
    <col min="10268" max="10268" width="7.5703125" style="65" customWidth="1"/>
    <col min="10269" max="10277" width="0" style="65" hidden="1" customWidth="1"/>
    <col min="10278" max="10496" width="9.140625" style="65"/>
    <col min="10497" max="10497" width="3.28515625" style="65" customWidth="1"/>
    <col min="10498" max="10498" width="14.140625" style="65" customWidth="1"/>
    <col min="10499" max="10499" width="4.7109375" style="65" customWidth="1"/>
    <col min="10500" max="10500" width="3.28515625" style="65" customWidth="1"/>
    <col min="10501" max="10501" width="6.140625" style="65" customWidth="1"/>
    <col min="10502" max="10502" width="7.42578125" style="65" customWidth="1"/>
    <col min="10503" max="10503" width="7" style="65" customWidth="1"/>
    <col min="10504" max="10504" width="5.140625" style="65" customWidth="1"/>
    <col min="10505" max="10505" width="5.28515625" style="65" customWidth="1"/>
    <col min="10506" max="10506" width="5" style="65" customWidth="1"/>
    <col min="10507" max="10507" width="7.5703125" style="65" customWidth="1"/>
    <col min="10508" max="10508" width="5.85546875" style="65" customWidth="1"/>
    <col min="10509" max="10509" width="6.140625" style="65" customWidth="1"/>
    <col min="10510" max="10510" width="5.7109375" style="65" customWidth="1"/>
    <col min="10511" max="10511" width="7" style="65" customWidth="1"/>
    <col min="10512" max="10513" width="5.5703125" style="65" customWidth="1"/>
    <col min="10514" max="10514" width="5.7109375" style="65" customWidth="1"/>
    <col min="10515" max="10515" width="5.28515625" style="65" customWidth="1"/>
    <col min="10516" max="10517" width="0" style="65" hidden="1" customWidth="1"/>
    <col min="10518" max="10518" width="4.85546875" style="65" customWidth="1"/>
    <col min="10519" max="10520" width="0" style="65" hidden="1" customWidth="1"/>
    <col min="10521" max="10521" width="7.7109375" style="65" customWidth="1"/>
    <col min="10522" max="10522" width="4.7109375" style="65" customWidth="1"/>
    <col min="10523" max="10523" width="5.28515625" style="65" customWidth="1"/>
    <col min="10524" max="10524" width="7.5703125" style="65" customWidth="1"/>
    <col min="10525" max="10533" width="0" style="65" hidden="1" customWidth="1"/>
    <col min="10534" max="10752" width="9.140625" style="65"/>
    <col min="10753" max="10753" width="3.28515625" style="65" customWidth="1"/>
    <col min="10754" max="10754" width="14.140625" style="65" customWidth="1"/>
    <col min="10755" max="10755" width="4.7109375" style="65" customWidth="1"/>
    <col min="10756" max="10756" width="3.28515625" style="65" customWidth="1"/>
    <col min="10757" max="10757" width="6.140625" style="65" customWidth="1"/>
    <col min="10758" max="10758" width="7.42578125" style="65" customWidth="1"/>
    <col min="10759" max="10759" width="7" style="65" customWidth="1"/>
    <col min="10760" max="10760" width="5.140625" style="65" customWidth="1"/>
    <col min="10761" max="10761" width="5.28515625" style="65" customWidth="1"/>
    <col min="10762" max="10762" width="5" style="65" customWidth="1"/>
    <col min="10763" max="10763" width="7.5703125" style="65" customWidth="1"/>
    <col min="10764" max="10764" width="5.85546875" style="65" customWidth="1"/>
    <col min="10765" max="10765" width="6.140625" style="65" customWidth="1"/>
    <col min="10766" max="10766" width="5.7109375" style="65" customWidth="1"/>
    <col min="10767" max="10767" width="7" style="65" customWidth="1"/>
    <col min="10768" max="10769" width="5.5703125" style="65" customWidth="1"/>
    <col min="10770" max="10770" width="5.7109375" style="65" customWidth="1"/>
    <col min="10771" max="10771" width="5.28515625" style="65" customWidth="1"/>
    <col min="10772" max="10773" width="0" style="65" hidden="1" customWidth="1"/>
    <col min="10774" max="10774" width="4.85546875" style="65" customWidth="1"/>
    <col min="10775" max="10776" width="0" style="65" hidden="1" customWidth="1"/>
    <col min="10777" max="10777" width="7.7109375" style="65" customWidth="1"/>
    <col min="10778" max="10778" width="4.7109375" style="65" customWidth="1"/>
    <col min="10779" max="10779" width="5.28515625" style="65" customWidth="1"/>
    <col min="10780" max="10780" width="7.5703125" style="65" customWidth="1"/>
    <col min="10781" max="10789" width="0" style="65" hidden="1" customWidth="1"/>
    <col min="10790" max="11008" width="9.140625" style="65"/>
    <col min="11009" max="11009" width="3.28515625" style="65" customWidth="1"/>
    <col min="11010" max="11010" width="14.140625" style="65" customWidth="1"/>
    <col min="11011" max="11011" width="4.7109375" style="65" customWidth="1"/>
    <col min="11012" max="11012" width="3.28515625" style="65" customWidth="1"/>
    <col min="11013" max="11013" width="6.140625" style="65" customWidth="1"/>
    <col min="11014" max="11014" width="7.42578125" style="65" customWidth="1"/>
    <col min="11015" max="11015" width="7" style="65" customWidth="1"/>
    <col min="11016" max="11016" width="5.140625" style="65" customWidth="1"/>
    <col min="11017" max="11017" width="5.28515625" style="65" customWidth="1"/>
    <col min="11018" max="11018" width="5" style="65" customWidth="1"/>
    <col min="11019" max="11019" width="7.5703125" style="65" customWidth="1"/>
    <col min="11020" max="11020" width="5.85546875" style="65" customWidth="1"/>
    <col min="11021" max="11021" width="6.140625" style="65" customWidth="1"/>
    <col min="11022" max="11022" width="5.7109375" style="65" customWidth="1"/>
    <col min="11023" max="11023" width="7" style="65" customWidth="1"/>
    <col min="11024" max="11025" width="5.5703125" style="65" customWidth="1"/>
    <col min="11026" max="11026" width="5.7109375" style="65" customWidth="1"/>
    <col min="11027" max="11027" width="5.28515625" style="65" customWidth="1"/>
    <col min="11028" max="11029" width="0" style="65" hidden="1" customWidth="1"/>
    <col min="11030" max="11030" width="4.85546875" style="65" customWidth="1"/>
    <col min="11031" max="11032" width="0" style="65" hidden="1" customWidth="1"/>
    <col min="11033" max="11033" width="7.7109375" style="65" customWidth="1"/>
    <col min="11034" max="11034" width="4.7109375" style="65" customWidth="1"/>
    <col min="11035" max="11035" width="5.28515625" style="65" customWidth="1"/>
    <col min="11036" max="11036" width="7.5703125" style="65" customWidth="1"/>
    <col min="11037" max="11045" width="0" style="65" hidden="1" customWidth="1"/>
    <col min="11046" max="11264" width="9.140625" style="65"/>
    <col min="11265" max="11265" width="3.28515625" style="65" customWidth="1"/>
    <col min="11266" max="11266" width="14.140625" style="65" customWidth="1"/>
    <col min="11267" max="11267" width="4.7109375" style="65" customWidth="1"/>
    <col min="11268" max="11268" width="3.28515625" style="65" customWidth="1"/>
    <col min="11269" max="11269" width="6.140625" style="65" customWidth="1"/>
    <col min="11270" max="11270" width="7.42578125" style="65" customWidth="1"/>
    <col min="11271" max="11271" width="7" style="65" customWidth="1"/>
    <col min="11272" max="11272" width="5.140625" style="65" customWidth="1"/>
    <col min="11273" max="11273" width="5.28515625" style="65" customWidth="1"/>
    <col min="11274" max="11274" width="5" style="65" customWidth="1"/>
    <col min="11275" max="11275" width="7.5703125" style="65" customWidth="1"/>
    <col min="11276" max="11276" width="5.85546875" style="65" customWidth="1"/>
    <col min="11277" max="11277" width="6.140625" style="65" customWidth="1"/>
    <col min="11278" max="11278" width="5.7109375" style="65" customWidth="1"/>
    <col min="11279" max="11279" width="7" style="65" customWidth="1"/>
    <col min="11280" max="11281" width="5.5703125" style="65" customWidth="1"/>
    <col min="11282" max="11282" width="5.7109375" style="65" customWidth="1"/>
    <col min="11283" max="11283" width="5.28515625" style="65" customWidth="1"/>
    <col min="11284" max="11285" width="0" style="65" hidden="1" customWidth="1"/>
    <col min="11286" max="11286" width="4.85546875" style="65" customWidth="1"/>
    <col min="11287" max="11288" width="0" style="65" hidden="1" customWidth="1"/>
    <col min="11289" max="11289" width="7.7109375" style="65" customWidth="1"/>
    <col min="11290" max="11290" width="4.7109375" style="65" customWidth="1"/>
    <col min="11291" max="11291" width="5.28515625" style="65" customWidth="1"/>
    <col min="11292" max="11292" width="7.5703125" style="65" customWidth="1"/>
    <col min="11293" max="11301" width="0" style="65" hidden="1" customWidth="1"/>
    <col min="11302" max="11520" width="9.140625" style="65"/>
    <col min="11521" max="11521" width="3.28515625" style="65" customWidth="1"/>
    <col min="11522" max="11522" width="14.140625" style="65" customWidth="1"/>
    <col min="11523" max="11523" width="4.7109375" style="65" customWidth="1"/>
    <col min="11524" max="11524" width="3.28515625" style="65" customWidth="1"/>
    <col min="11525" max="11525" width="6.140625" style="65" customWidth="1"/>
    <col min="11526" max="11526" width="7.42578125" style="65" customWidth="1"/>
    <col min="11527" max="11527" width="7" style="65" customWidth="1"/>
    <col min="11528" max="11528" width="5.140625" style="65" customWidth="1"/>
    <col min="11529" max="11529" width="5.28515625" style="65" customWidth="1"/>
    <col min="11530" max="11530" width="5" style="65" customWidth="1"/>
    <col min="11531" max="11531" width="7.5703125" style="65" customWidth="1"/>
    <col min="11532" max="11532" width="5.85546875" style="65" customWidth="1"/>
    <col min="11533" max="11533" width="6.140625" style="65" customWidth="1"/>
    <col min="11534" max="11534" width="5.7109375" style="65" customWidth="1"/>
    <col min="11535" max="11535" width="7" style="65" customWidth="1"/>
    <col min="11536" max="11537" width="5.5703125" style="65" customWidth="1"/>
    <col min="11538" max="11538" width="5.7109375" style="65" customWidth="1"/>
    <col min="11539" max="11539" width="5.28515625" style="65" customWidth="1"/>
    <col min="11540" max="11541" width="0" style="65" hidden="1" customWidth="1"/>
    <col min="11542" max="11542" width="4.85546875" style="65" customWidth="1"/>
    <col min="11543" max="11544" width="0" style="65" hidden="1" customWidth="1"/>
    <col min="11545" max="11545" width="7.7109375" style="65" customWidth="1"/>
    <col min="11546" max="11546" width="4.7109375" style="65" customWidth="1"/>
    <col min="11547" max="11547" width="5.28515625" style="65" customWidth="1"/>
    <col min="11548" max="11548" width="7.5703125" style="65" customWidth="1"/>
    <col min="11549" max="11557" width="0" style="65" hidden="1" customWidth="1"/>
    <col min="11558" max="11776" width="9.140625" style="65"/>
    <col min="11777" max="11777" width="3.28515625" style="65" customWidth="1"/>
    <col min="11778" max="11778" width="14.140625" style="65" customWidth="1"/>
    <col min="11779" max="11779" width="4.7109375" style="65" customWidth="1"/>
    <col min="11780" max="11780" width="3.28515625" style="65" customWidth="1"/>
    <col min="11781" max="11781" width="6.140625" style="65" customWidth="1"/>
    <col min="11782" max="11782" width="7.42578125" style="65" customWidth="1"/>
    <col min="11783" max="11783" width="7" style="65" customWidth="1"/>
    <col min="11784" max="11784" width="5.140625" style="65" customWidth="1"/>
    <col min="11785" max="11785" width="5.28515625" style="65" customWidth="1"/>
    <col min="11786" max="11786" width="5" style="65" customWidth="1"/>
    <col min="11787" max="11787" width="7.5703125" style="65" customWidth="1"/>
    <col min="11788" max="11788" width="5.85546875" style="65" customWidth="1"/>
    <col min="11789" max="11789" width="6.140625" style="65" customWidth="1"/>
    <col min="11790" max="11790" width="5.7109375" style="65" customWidth="1"/>
    <col min="11791" max="11791" width="7" style="65" customWidth="1"/>
    <col min="11792" max="11793" width="5.5703125" style="65" customWidth="1"/>
    <col min="11794" max="11794" width="5.7109375" style="65" customWidth="1"/>
    <col min="11795" max="11795" width="5.28515625" style="65" customWidth="1"/>
    <col min="11796" max="11797" width="0" style="65" hidden="1" customWidth="1"/>
    <col min="11798" max="11798" width="4.85546875" style="65" customWidth="1"/>
    <col min="11799" max="11800" width="0" style="65" hidden="1" customWidth="1"/>
    <col min="11801" max="11801" width="7.7109375" style="65" customWidth="1"/>
    <col min="11802" max="11802" width="4.7109375" style="65" customWidth="1"/>
    <col min="11803" max="11803" width="5.28515625" style="65" customWidth="1"/>
    <col min="11804" max="11804" width="7.5703125" style="65" customWidth="1"/>
    <col min="11805" max="11813" width="0" style="65" hidden="1" customWidth="1"/>
    <col min="11814" max="12032" width="9.140625" style="65"/>
    <col min="12033" max="12033" width="3.28515625" style="65" customWidth="1"/>
    <col min="12034" max="12034" width="14.140625" style="65" customWidth="1"/>
    <col min="12035" max="12035" width="4.7109375" style="65" customWidth="1"/>
    <col min="12036" max="12036" width="3.28515625" style="65" customWidth="1"/>
    <col min="12037" max="12037" width="6.140625" style="65" customWidth="1"/>
    <col min="12038" max="12038" width="7.42578125" style="65" customWidth="1"/>
    <col min="12039" max="12039" width="7" style="65" customWidth="1"/>
    <col min="12040" max="12040" width="5.140625" style="65" customWidth="1"/>
    <col min="12041" max="12041" width="5.28515625" style="65" customWidth="1"/>
    <col min="12042" max="12042" width="5" style="65" customWidth="1"/>
    <col min="12043" max="12043" width="7.5703125" style="65" customWidth="1"/>
    <col min="12044" max="12044" width="5.85546875" style="65" customWidth="1"/>
    <col min="12045" max="12045" width="6.140625" style="65" customWidth="1"/>
    <col min="12046" max="12046" width="5.7109375" style="65" customWidth="1"/>
    <col min="12047" max="12047" width="7" style="65" customWidth="1"/>
    <col min="12048" max="12049" width="5.5703125" style="65" customWidth="1"/>
    <col min="12050" max="12050" width="5.7109375" style="65" customWidth="1"/>
    <col min="12051" max="12051" width="5.28515625" style="65" customWidth="1"/>
    <col min="12052" max="12053" width="0" style="65" hidden="1" customWidth="1"/>
    <col min="12054" max="12054" width="4.85546875" style="65" customWidth="1"/>
    <col min="12055" max="12056" width="0" style="65" hidden="1" customWidth="1"/>
    <col min="12057" max="12057" width="7.7109375" style="65" customWidth="1"/>
    <col min="12058" max="12058" width="4.7109375" style="65" customWidth="1"/>
    <col min="12059" max="12059" width="5.28515625" style="65" customWidth="1"/>
    <col min="12060" max="12060" width="7.5703125" style="65" customWidth="1"/>
    <col min="12061" max="12069" width="0" style="65" hidden="1" customWidth="1"/>
    <col min="12070" max="12288" width="9.140625" style="65"/>
    <col min="12289" max="12289" width="3.28515625" style="65" customWidth="1"/>
    <col min="12290" max="12290" width="14.140625" style="65" customWidth="1"/>
    <col min="12291" max="12291" width="4.7109375" style="65" customWidth="1"/>
    <col min="12292" max="12292" width="3.28515625" style="65" customWidth="1"/>
    <col min="12293" max="12293" width="6.140625" style="65" customWidth="1"/>
    <col min="12294" max="12294" width="7.42578125" style="65" customWidth="1"/>
    <col min="12295" max="12295" width="7" style="65" customWidth="1"/>
    <col min="12296" max="12296" width="5.140625" style="65" customWidth="1"/>
    <col min="12297" max="12297" width="5.28515625" style="65" customWidth="1"/>
    <col min="12298" max="12298" width="5" style="65" customWidth="1"/>
    <col min="12299" max="12299" width="7.5703125" style="65" customWidth="1"/>
    <col min="12300" max="12300" width="5.85546875" style="65" customWidth="1"/>
    <col min="12301" max="12301" width="6.140625" style="65" customWidth="1"/>
    <col min="12302" max="12302" width="5.7109375" style="65" customWidth="1"/>
    <col min="12303" max="12303" width="7" style="65" customWidth="1"/>
    <col min="12304" max="12305" width="5.5703125" style="65" customWidth="1"/>
    <col min="12306" max="12306" width="5.7109375" style="65" customWidth="1"/>
    <col min="12307" max="12307" width="5.28515625" style="65" customWidth="1"/>
    <col min="12308" max="12309" width="0" style="65" hidden="1" customWidth="1"/>
    <col min="12310" max="12310" width="4.85546875" style="65" customWidth="1"/>
    <col min="12311" max="12312" width="0" style="65" hidden="1" customWidth="1"/>
    <col min="12313" max="12313" width="7.7109375" style="65" customWidth="1"/>
    <col min="12314" max="12314" width="4.7109375" style="65" customWidth="1"/>
    <col min="12315" max="12315" width="5.28515625" style="65" customWidth="1"/>
    <col min="12316" max="12316" width="7.5703125" style="65" customWidth="1"/>
    <col min="12317" max="12325" width="0" style="65" hidden="1" customWidth="1"/>
    <col min="12326" max="12544" width="9.140625" style="65"/>
    <col min="12545" max="12545" width="3.28515625" style="65" customWidth="1"/>
    <col min="12546" max="12546" width="14.140625" style="65" customWidth="1"/>
    <col min="12547" max="12547" width="4.7109375" style="65" customWidth="1"/>
    <col min="12548" max="12548" width="3.28515625" style="65" customWidth="1"/>
    <col min="12549" max="12549" width="6.140625" style="65" customWidth="1"/>
    <col min="12550" max="12550" width="7.42578125" style="65" customWidth="1"/>
    <col min="12551" max="12551" width="7" style="65" customWidth="1"/>
    <col min="12552" max="12552" width="5.140625" style="65" customWidth="1"/>
    <col min="12553" max="12553" width="5.28515625" style="65" customWidth="1"/>
    <col min="12554" max="12554" width="5" style="65" customWidth="1"/>
    <col min="12555" max="12555" width="7.5703125" style="65" customWidth="1"/>
    <col min="12556" max="12556" width="5.85546875" style="65" customWidth="1"/>
    <col min="12557" max="12557" width="6.140625" style="65" customWidth="1"/>
    <col min="12558" max="12558" width="5.7109375" style="65" customWidth="1"/>
    <col min="12559" max="12559" width="7" style="65" customWidth="1"/>
    <col min="12560" max="12561" width="5.5703125" style="65" customWidth="1"/>
    <col min="12562" max="12562" width="5.7109375" style="65" customWidth="1"/>
    <col min="12563" max="12563" width="5.28515625" style="65" customWidth="1"/>
    <col min="12564" max="12565" width="0" style="65" hidden="1" customWidth="1"/>
    <col min="12566" max="12566" width="4.85546875" style="65" customWidth="1"/>
    <col min="12567" max="12568" width="0" style="65" hidden="1" customWidth="1"/>
    <col min="12569" max="12569" width="7.7109375" style="65" customWidth="1"/>
    <col min="12570" max="12570" width="4.7109375" style="65" customWidth="1"/>
    <col min="12571" max="12571" width="5.28515625" style="65" customWidth="1"/>
    <col min="12572" max="12572" width="7.5703125" style="65" customWidth="1"/>
    <col min="12573" max="12581" width="0" style="65" hidden="1" customWidth="1"/>
    <col min="12582" max="12800" width="9.140625" style="65"/>
    <col min="12801" max="12801" width="3.28515625" style="65" customWidth="1"/>
    <col min="12802" max="12802" width="14.140625" style="65" customWidth="1"/>
    <col min="12803" max="12803" width="4.7109375" style="65" customWidth="1"/>
    <col min="12804" max="12804" width="3.28515625" style="65" customWidth="1"/>
    <col min="12805" max="12805" width="6.140625" style="65" customWidth="1"/>
    <col min="12806" max="12806" width="7.42578125" style="65" customWidth="1"/>
    <col min="12807" max="12807" width="7" style="65" customWidth="1"/>
    <col min="12808" max="12808" width="5.140625" style="65" customWidth="1"/>
    <col min="12809" max="12809" width="5.28515625" style="65" customWidth="1"/>
    <col min="12810" max="12810" width="5" style="65" customWidth="1"/>
    <col min="12811" max="12811" width="7.5703125" style="65" customWidth="1"/>
    <col min="12812" max="12812" width="5.85546875" style="65" customWidth="1"/>
    <col min="12813" max="12813" width="6.140625" style="65" customWidth="1"/>
    <col min="12814" max="12814" width="5.7109375" style="65" customWidth="1"/>
    <col min="12815" max="12815" width="7" style="65" customWidth="1"/>
    <col min="12816" max="12817" width="5.5703125" style="65" customWidth="1"/>
    <col min="12818" max="12818" width="5.7109375" style="65" customWidth="1"/>
    <col min="12819" max="12819" width="5.28515625" style="65" customWidth="1"/>
    <col min="12820" max="12821" width="0" style="65" hidden="1" customWidth="1"/>
    <col min="12822" max="12822" width="4.85546875" style="65" customWidth="1"/>
    <col min="12823" max="12824" width="0" style="65" hidden="1" customWidth="1"/>
    <col min="12825" max="12825" width="7.7109375" style="65" customWidth="1"/>
    <col min="12826" max="12826" width="4.7109375" style="65" customWidth="1"/>
    <col min="12827" max="12827" width="5.28515625" style="65" customWidth="1"/>
    <col min="12828" max="12828" width="7.5703125" style="65" customWidth="1"/>
    <col min="12829" max="12837" width="0" style="65" hidden="1" customWidth="1"/>
    <col min="12838" max="13056" width="9.140625" style="65"/>
    <col min="13057" max="13057" width="3.28515625" style="65" customWidth="1"/>
    <col min="13058" max="13058" width="14.140625" style="65" customWidth="1"/>
    <col min="13059" max="13059" width="4.7109375" style="65" customWidth="1"/>
    <col min="13060" max="13060" width="3.28515625" style="65" customWidth="1"/>
    <col min="13061" max="13061" width="6.140625" style="65" customWidth="1"/>
    <col min="13062" max="13062" width="7.42578125" style="65" customWidth="1"/>
    <col min="13063" max="13063" width="7" style="65" customWidth="1"/>
    <col min="13064" max="13064" width="5.140625" style="65" customWidth="1"/>
    <col min="13065" max="13065" width="5.28515625" style="65" customWidth="1"/>
    <col min="13066" max="13066" width="5" style="65" customWidth="1"/>
    <col min="13067" max="13067" width="7.5703125" style="65" customWidth="1"/>
    <col min="13068" max="13068" width="5.85546875" style="65" customWidth="1"/>
    <col min="13069" max="13069" width="6.140625" style="65" customWidth="1"/>
    <col min="13070" max="13070" width="5.7109375" style="65" customWidth="1"/>
    <col min="13071" max="13071" width="7" style="65" customWidth="1"/>
    <col min="13072" max="13073" width="5.5703125" style="65" customWidth="1"/>
    <col min="13074" max="13074" width="5.7109375" style="65" customWidth="1"/>
    <col min="13075" max="13075" width="5.28515625" style="65" customWidth="1"/>
    <col min="13076" max="13077" width="0" style="65" hidden="1" customWidth="1"/>
    <col min="13078" max="13078" width="4.85546875" style="65" customWidth="1"/>
    <col min="13079" max="13080" width="0" style="65" hidden="1" customWidth="1"/>
    <col min="13081" max="13081" width="7.7109375" style="65" customWidth="1"/>
    <col min="13082" max="13082" width="4.7109375" style="65" customWidth="1"/>
    <col min="13083" max="13083" width="5.28515625" style="65" customWidth="1"/>
    <col min="13084" max="13084" width="7.5703125" style="65" customWidth="1"/>
    <col min="13085" max="13093" width="0" style="65" hidden="1" customWidth="1"/>
    <col min="13094" max="13312" width="9.140625" style="65"/>
    <col min="13313" max="13313" width="3.28515625" style="65" customWidth="1"/>
    <col min="13314" max="13314" width="14.140625" style="65" customWidth="1"/>
    <col min="13315" max="13315" width="4.7109375" style="65" customWidth="1"/>
    <col min="13316" max="13316" width="3.28515625" style="65" customWidth="1"/>
    <col min="13317" max="13317" width="6.140625" style="65" customWidth="1"/>
    <col min="13318" max="13318" width="7.42578125" style="65" customWidth="1"/>
    <col min="13319" max="13319" width="7" style="65" customWidth="1"/>
    <col min="13320" max="13320" width="5.140625" style="65" customWidth="1"/>
    <col min="13321" max="13321" width="5.28515625" style="65" customWidth="1"/>
    <col min="13322" max="13322" width="5" style="65" customWidth="1"/>
    <col min="13323" max="13323" width="7.5703125" style="65" customWidth="1"/>
    <col min="13324" max="13324" width="5.85546875" style="65" customWidth="1"/>
    <col min="13325" max="13325" width="6.140625" style="65" customWidth="1"/>
    <col min="13326" max="13326" width="5.7109375" style="65" customWidth="1"/>
    <col min="13327" max="13327" width="7" style="65" customWidth="1"/>
    <col min="13328" max="13329" width="5.5703125" style="65" customWidth="1"/>
    <col min="13330" max="13330" width="5.7109375" style="65" customWidth="1"/>
    <col min="13331" max="13331" width="5.28515625" style="65" customWidth="1"/>
    <col min="13332" max="13333" width="0" style="65" hidden="1" customWidth="1"/>
    <col min="13334" max="13334" width="4.85546875" style="65" customWidth="1"/>
    <col min="13335" max="13336" width="0" style="65" hidden="1" customWidth="1"/>
    <col min="13337" max="13337" width="7.7109375" style="65" customWidth="1"/>
    <col min="13338" max="13338" width="4.7109375" style="65" customWidth="1"/>
    <col min="13339" max="13339" width="5.28515625" style="65" customWidth="1"/>
    <col min="13340" max="13340" width="7.5703125" style="65" customWidth="1"/>
    <col min="13341" max="13349" width="0" style="65" hidden="1" customWidth="1"/>
    <col min="13350" max="13568" width="9.140625" style="65"/>
    <col min="13569" max="13569" width="3.28515625" style="65" customWidth="1"/>
    <col min="13570" max="13570" width="14.140625" style="65" customWidth="1"/>
    <col min="13571" max="13571" width="4.7109375" style="65" customWidth="1"/>
    <col min="13572" max="13572" width="3.28515625" style="65" customWidth="1"/>
    <col min="13573" max="13573" width="6.140625" style="65" customWidth="1"/>
    <col min="13574" max="13574" width="7.42578125" style="65" customWidth="1"/>
    <col min="13575" max="13575" width="7" style="65" customWidth="1"/>
    <col min="13576" max="13576" width="5.140625" style="65" customWidth="1"/>
    <col min="13577" max="13577" width="5.28515625" style="65" customWidth="1"/>
    <col min="13578" max="13578" width="5" style="65" customWidth="1"/>
    <col min="13579" max="13579" width="7.5703125" style="65" customWidth="1"/>
    <col min="13580" max="13580" width="5.85546875" style="65" customWidth="1"/>
    <col min="13581" max="13581" width="6.140625" style="65" customWidth="1"/>
    <col min="13582" max="13582" width="5.7109375" style="65" customWidth="1"/>
    <col min="13583" max="13583" width="7" style="65" customWidth="1"/>
    <col min="13584" max="13585" width="5.5703125" style="65" customWidth="1"/>
    <col min="13586" max="13586" width="5.7109375" style="65" customWidth="1"/>
    <col min="13587" max="13587" width="5.28515625" style="65" customWidth="1"/>
    <col min="13588" max="13589" width="0" style="65" hidden="1" customWidth="1"/>
    <col min="13590" max="13590" width="4.85546875" style="65" customWidth="1"/>
    <col min="13591" max="13592" width="0" style="65" hidden="1" customWidth="1"/>
    <col min="13593" max="13593" width="7.7109375" style="65" customWidth="1"/>
    <col min="13594" max="13594" width="4.7109375" style="65" customWidth="1"/>
    <col min="13595" max="13595" width="5.28515625" style="65" customWidth="1"/>
    <col min="13596" max="13596" width="7.5703125" style="65" customWidth="1"/>
    <col min="13597" max="13605" width="0" style="65" hidden="1" customWidth="1"/>
    <col min="13606" max="13824" width="9.140625" style="65"/>
    <col min="13825" max="13825" width="3.28515625" style="65" customWidth="1"/>
    <col min="13826" max="13826" width="14.140625" style="65" customWidth="1"/>
    <col min="13827" max="13827" width="4.7109375" style="65" customWidth="1"/>
    <col min="13828" max="13828" width="3.28515625" style="65" customWidth="1"/>
    <col min="13829" max="13829" width="6.140625" style="65" customWidth="1"/>
    <col min="13830" max="13830" width="7.42578125" style="65" customWidth="1"/>
    <col min="13831" max="13831" width="7" style="65" customWidth="1"/>
    <col min="13832" max="13832" width="5.140625" style="65" customWidth="1"/>
    <col min="13833" max="13833" width="5.28515625" style="65" customWidth="1"/>
    <col min="13834" max="13834" width="5" style="65" customWidth="1"/>
    <col min="13835" max="13835" width="7.5703125" style="65" customWidth="1"/>
    <col min="13836" max="13836" width="5.85546875" style="65" customWidth="1"/>
    <col min="13837" max="13837" width="6.140625" style="65" customWidth="1"/>
    <col min="13838" max="13838" width="5.7109375" style="65" customWidth="1"/>
    <col min="13839" max="13839" width="7" style="65" customWidth="1"/>
    <col min="13840" max="13841" width="5.5703125" style="65" customWidth="1"/>
    <col min="13842" max="13842" width="5.7109375" style="65" customWidth="1"/>
    <col min="13843" max="13843" width="5.28515625" style="65" customWidth="1"/>
    <col min="13844" max="13845" width="0" style="65" hidden="1" customWidth="1"/>
    <col min="13846" max="13846" width="4.85546875" style="65" customWidth="1"/>
    <col min="13847" max="13848" width="0" style="65" hidden="1" customWidth="1"/>
    <col min="13849" max="13849" width="7.7109375" style="65" customWidth="1"/>
    <col min="13850" max="13850" width="4.7109375" style="65" customWidth="1"/>
    <col min="13851" max="13851" width="5.28515625" style="65" customWidth="1"/>
    <col min="13852" max="13852" width="7.5703125" style="65" customWidth="1"/>
    <col min="13853" max="13861" width="0" style="65" hidden="1" customWidth="1"/>
    <col min="13862" max="14080" width="9.140625" style="65"/>
    <col min="14081" max="14081" width="3.28515625" style="65" customWidth="1"/>
    <col min="14082" max="14082" width="14.140625" style="65" customWidth="1"/>
    <col min="14083" max="14083" width="4.7109375" style="65" customWidth="1"/>
    <col min="14084" max="14084" width="3.28515625" style="65" customWidth="1"/>
    <col min="14085" max="14085" width="6.140625" style="65" customWidth="1"/>
    <col min="14086" max="14086" width="7.42578125" style="65" customWidth="1"/>
    <col min="14087" max="14087" width="7" style="65" customWidth="1"/>
    <col min="14088" max="14088" width="5.140625" style="65" customWidth="1"/>
    <col min="14089" max="14089" width="5.28515625" style="65" customWidth="1"/>
    <col min="14090" max="14090" width="5" style="65" customWidth="1"/>
    <col min="14091" max="14091" width="7.5703125" style="65" customWidth="1"/>
    <col min="14092" max="14092" width="5.85546875" style="65" customWidth="1"/>
    <col min="14093" max="14093" width="6.140625" style="65" customWidth="1"/>
    <col min="14094" max="14094" width="5.7109375" style="65" customWidth="1"/>
    <col min="14095" max="14095" width="7" style="65" customWidth="1"/>
    <col min="14096" max="14097" width="5.5703125" style="65" customWidth="1"/>
    <col min="14098" max="14098" width="5.7109375" style="65" customWidth="1"/>
    <col min="14099" max="14099" width="5.28515625" style="65" customWidth="1"/>
    <col min="14100" max="14101" width="0" style="65" hidden="1" customWidth="1"/>
    <col min="14102" max="14102" width="4.85546875" style="65" customWidth="1"/>
    <col min="14103" max="14104" width="0" style="65" hidden="1" customWidth="1"/>
    <col min="14105" max="14105" width="7.7109375" style="65" customWidth="1"/>
    <col min="14106" max="14106" width="4.7109375" style="65" customWidth="1"/>
    <col min="14107" max="14107" width="5.28515625" style="65" customWidth="1"/>
    <col min="14108" max="14108" width="7.5703125" style="65" customWidth="1"/>
    <col min="14109" max="14117" width="0" style="65" hidden="1" customWidth="1"/>
    <col min="14118" max="14336" width="9.140625" style="65"/>
    <col min="14337" max="14337" width="3.28515625" style="65" customWidth="1"/>
    <col min="14338" max="14338" width="14.140625" style="65" customWidth="1"/>
    <col min="14339" max="14339" width="4.7109375" style="65" customWidth="1"/>
    <col min="14340" max="14340" width="3.28515625" style="65" customWidth="1"/>
    <col min="14341" max="14341" width="6.140625" style="65" customWidth="1"/>
    <col min="14342" max="14342" width="7.42578125" style="65" customWidth="1"/>
    <col min="14343" max="14343" width="7" style="65" customWidth="1"/>
    <col min="14344" max="14344" width="5.140625" style="65" customWidth="1"/>
    <col min="14345" max="14345" width="5.28515625" style="65" customWidth="1"/>
    <col min="14346" max="14346" width="5" style="65" customWidth="1"/>
    <col min="14347" max="14347" width="7.5703125" style="65" customWidth="1"/>
    <col min="14348" max="14348" width="5.85546875" style="65" customWidth="1"/>
    <col min="14349" max="14349" width="6.140625" style="65" customWidth="1"/>
    <col min="14350" max="14350" width="5.7109375" style="65" customWidth="1"/>
    <col min="14351" max="14351" width="7" style="65" customWidth="1"/>
    <col min="14352" max="14353" width="5.5703125" style="65" customWidth="1"/>
    <col min="14354" max="14354" width="5.7109375" style="65" customWidth="1"/>
    <col min="14355" max="14355" width="5.28515625" style="65" customWidth="1"/>
    <col min="14356" max="14357" width="0" style="65" hidden="1" customWidth="1"/>
    <col min="14358" max="14358" width="4.85546875" style="65" customWidth="1"/>
    <col min="14359" max="14360" width="0" style="65" hidden="1" customWidth="1"/>
    <col min="14361" max="14361" width="7.7109375" style="65" customWidth="1"/>
    <col min="14362" max="14362" width="4.7109375" style="65" customWidth="1"/>
    <col min="14363" max="14363" width="5.28515625" style="65" customWidth="1"/>
    <col min="14364" max="14364" width="7.5703125" style="65" customWidth="1"/>
    <col min="14365" max="14373" width="0" style="65" hidden="1" customWidth="1"/>
    <col min="14374" max="14592" width="9.140625" style="65"/>
    <col min="14593" max="14593" width="3.28515625" style="65" customWidth="1"/>
    <col min="14594" max="14594" width="14.140625" style="65" customWidth="1"/>
    <col min="14595" max="14595" width="4.7109375" style="65" customWidth="1"/>
    <col min="14596" max="14596" width="3.28515625" style="65" customWidth="1"/>
    <col min="14597" max="14597" width="6.140625" style="65" customWidth="1"/>
    <col min="14598" max="14598" width="7.42578125" style="65" customWidth="1"/>
    <col min="14599" max="14599" width="7" style="65" customWidth="1"/>
    <col min="14600" max="14600" width="5.140625" style="65" customWidth="1"/>
    <col min="14601" max="14601" width="5.28515625" style="65" customWidth="1"/>
    <col min="14602" max="14602" width="5" style="65" customWidth="1"/>
    <col min="14603" max="14603" width="7.5703125" style="65" customWidth="1"/>
    <col min="14604" max="14604" width="5.85546875" style="65" customWidth="1"/>
    <col min="14605" max="14605" width="6.140625" style="65" customWidth="1"/>
    <col min="14606" max="14606" width="5.7109375" style="65" customWidth="1"/>
    <col min="14607" max="14607" width="7" style="65" customWidth="1"/>
    <col min="14608" max="14609" width="5.5703125" style="65" customWidth="1"/>
    <col min="14610" max="14610" width="5.7109375" style="65" customWidth="1"/>
    <col min="14611" max="14611" width="5.28515625" style="65" customWidth="1"/>
    <col min="14612" max="14613" width="0" style="65" hidden="1" customWidth="1"/>
    <col min="14614" max="14614" width="4.85546875" style="65" customWidth="1"/>
    <col min="14615" max="14616" width="0" style="65" hidden="1" customWidth="1"/>
    <col min="14617" max="14617" width="7.7109375" style="65" customWidth="1"/>
    <col min="14618" max="14618" width="4.7109375" style="65" customWidth="1"/>
    <col min="14619" max="14619" width="5.28515625" style="65" customWidth="1"/>
    <col min="14620" max="14620" width="7.5703125" style="65" customWidth="1"/>
    <col min="14621" max="14629" width="0" style="65" hidden="1" customWidth="1"/>
    <col min="14630" max="14848" width="9.140625" style="65"/>
    <col min="14849" max="14849" width="3.28515625" style="65" customWidth="1"/>
    <col min="14850" max="14850" width="14.140625" style="65" customWidth="1"/>
    <col min="14851" max="14851" width="4.7109375" style="65" customWidth="1"/>
    <col min="14852" max="14852" width="3.28515625" style="65" customWidth="1"/>
    <col min="14853" max="14853" width="6.140625" style="65" customWidth="1"/>
    <col min="14854" max="14854" width="7.42578125" style="65" customWidth="1"/>
    <col min="14855" max="14855" width="7" style="65" customWidth="1"/>
    <col min="14856" max="14856" width="5.140625" style="65" customWidth="1"/>
    <col min="14857" max="14857" width="5.28515625" style="65" customWidth="1"/>
    <col min="14858" max="14858" width="5" style="65" customWidth="1"/>
    <col min="14859" max="14859" width="7.5703125" style="65" customWidth="1"/>
    <col min="14860" max="14860" width="5.85546875" style="65" customWidth="1"/>
    <col min="14861" max="14861" width="6.140625" style="65" customWidth="1"/>
    <col min="14862" max="14862" width="5.7109375" style="65" customWidth="1"/>
    <col min="14863" max="14863" width="7" style="65" customWidth="1"/>
    <col min="14864" max="14865" width="5.5703125" style="65" customWidth="1"/>
    <col min="14866" max="14866" width="5.7109375" style="65" customWidth="1"/>
    <col min="14867" max="14867" width="5.28515625" style="65" customWidth="1"/>
    <col min="14868" max="14869" width="0" style="65" hidden="1" customWidth="1"/>
    <col min="14870" max="14870" width="4.85546875" style="65" customWidth="1"/>
    <col min="14871" max="14872" width="0" style="65" hidden="1" customWidth="1"/>
    <col min="14873" max="14873" width="7.7109375" style="65" customWidth="1"/>
    <col min="14874" max="14874" width="4.7109375" style="65" customWidth="1"/>
    <col min="14875" max="14875" width="5.28515625" style="65" customWidth="1"/>
    <col min="14876" max="14876" width="7.5703125" style="65" customWidth="1"/>
    <col min="14877" max="14885" width="0" style="65" hidden="1" customWidth="1"/>
    <col min="14886" max="15104" width="9.140625" style="65"/>
    <col min="15105" max="15105" width="3.28515625" style="65" customWidth="1"/>
    <col min="15106" max="15106" width="14.140625" style="65" customWidth="1"/>
    <col min="15107" max="15107" width="4.7109375" style="65" customWidth="1"/>
    <col min="15108" max="15108" width="3.28515625" style="65" customWidth="1"/>
    <col min="15109" max="15109" width="6.140625" style="65" customWidth="1"/>
    <col min="15110" max="15110" width="7.42578125" style="65" customWidth="1"/>
    <col min="15111" max="15111" width="7" style="65" customWidth="1"/>
    <col min="15112" max="15112" width="5.140625" style="65" customWidth="1"/>
    <col min="15113" max="15113" width="5.28515625" style="65" customWidth="1"/>
    <col min="15114" max="15114" width="5" style="65" customWidth="1"/>
    <col min="15115" max="15115" width="7.5703125" style="65" customWidth="1"/>
    <col min="15116" max="15116" width="5.85546875" style="65" customWidth="1"/>
    <col min="15117" max="15117" width="6.140625" style="65" customWidth="1"/>
    <col min="15118" max="15118" width="5.7109375" style="65" customWidth="1"/>
    <col min="15119" max="15119" width="7" style="65" customWidth="1"/>
    <col min="15120" max="15121" width="5.5703125" style="65" customWidth="1"/>
    <col min="15122" max="15122" width="5.7109375" style="65" customWidth="1"/>
    <col min="15123" max="15123" width="5.28515625" style="65" customWidth="1"/>
    <col min="15124" max="15125" width="0" style="65" hidden="1" customWidth="1"/>
    <col min="15126" max="15126" width="4.85546875" style="65" customWidth="1"/>
    <col min="15127" max="15128" width="0" style="65" hidden="1" customWidth="1"/>
    <col min="15129" max="15129" width="7.7109375" style="65" customWidth="1"/>
    <col min="15130" max="15130" width="4.7109375" style="65" customWidth="1"/>
    <col min="15131" max="15131" width="5.28515625" style="65" customWidth="1"/>
    <col min="15132" max="15132" width="7.5703125" style="65" customWidth="1"/>
    <col min="15133" max="15141" width="0" style="65" hidden="1" customWidth="1"/>
    <col min="15142" max="15360" width="9.140625" style="65"/>
    <col min="15361" max="15361" width="3.28515625" style="65" customWidth="1"/>
    <col min="15362" max="15362" width="14.140625" style="65" customWidth="1"/>
    <col min="15363" max="15363" width="4.7109375" style="65" customWidth="1"/>
    <col min="15364" max="15364" width="3.28515625" style="65" customWidth="1"/>
    <col min="15365" max="15365" width="6.140625" style="65" customWidth="1"/>
    <col min="15366" max="15366" width="7.42578125" style="65" customWidth="1"/>
    <col min="15367" max="15367" width="7" style="65" customWidth="1"/>
    <col min="15368" max="15368" width="5.140625" style="65" customWidth="1"/>
    <col min="15369" max="15369" width="5.28515625" style="65" customWidth="1"/>
    <col min="15370" max="15370" width="5" style="65" customWidth="1"/>
    <col min="15371" max="15371" width="7.5703125" style="65" customWidth="1"/>
    <col min="15372" max="15372" width="5.85546875" style="65" customWidth="1"/>
    <col min="15373" max="15373" width="6.140625" style="65" customWidth="1"/>
    <col min="15374" max="15374" width="5.7109375" style="65" customWidth="1"/>
    <col min="15375" max="15375" width="7" style="65" customWidth="1"/>
    <col min="15376" max="15377" width="5.5703125" style="65" customWidth="1"/>
    <col min="15378" max="15378" width="5.7109375" style="65" customWidth="1"/>
    <col min="15379" max="15379" width="5.28515625" style="65" customWidth="1"/>
    <col min="15380" max="15381" width="0" style="65" hidden="1" customWidth="1"/>
    <col min="15382" max="15382" width="4.85546875" style="65" customWidth="1"/>
    <col min="15383" max="15384" width="0" style="65" hidden="1" customWidth="1"/>
    <col min="15385" max="15385" width="7.7109375" style="65" customWidth="1"/>
    <col min="15386" max="15386" width="4.7109375" style="65" customWidth="1"/>
    <col min="15387" max="15387" width="5.28515625" style="65" customWidth="1"/>
    <col min="15388" max="15388" width="7.5703125" style="65" customWidth="1"/>
    <col min="15389" max="15397" width="0" style="65" hidden="1" customWidth="1"/>
    <col min="15398" max="15616" width="9.140625" style="65"/>
    <col min="15617" max="15617" width="3.28515625" style="65" customWidth="1"/>
    <col min="15618" max="15618" width="14.140625" style="65" customWidth="1"/>
    <col min="15619" max="15619" width="4.7109375" style="65" customWidth="1"/>
    <col min="15620" max="15620" width="3.28515625" style="65" customWidth="1"/>
    <col min="15621" max="15621" width="6.140625" style="65" customWidth="1"/>
    <col min="15622" max="15622" width="7.42578125" style="65" customWidth="1"/>
    <col min="15623" max="15623" width="7" style="65" customWidth="1"/>
    <col min="15624" max="15624" width="5.140625" style="65" customWidth="1"/>
    <col min="15625" max="15625" width="5.28515625" style="65" customWidth="1"/>
    <col min="15626" max="15626" width="5" style="65" customWidth="1"/>
    <col min="15627" max="15627" width="7.5703125" style="65" customWidth="1"/>
    <col min="15628" max="15628" width="5.85546875" style="65" customWidth="1"/>
    <col min="15629" max="15629" width="6.140625" style="65" customWidth="1"/>
    <col min="15630" max="15630" width="5.7109375" style="65" customWidth="1"/>
    <col min="15631" max="15631" width="7" style="65" customWidth="1"/>
    <col min="15632" max="15633" width="5.5703125" style="65" customWidth="1"/>
    <col min="15634" max="15634" width="5.7109375" style="65" customWidth="1"/>
    <col min="15635" max="15635" width="5.28515625" style="65" customWidth="1"/>
    <col min="15636" max="15637" width="0" style="65" hidden="1" customWidth="1"/>
    <col min="15638" max="15638" width="4.85546875" style="65" customWidth="1"/>
    <col min="15639" max="15640" width="0" style="65" hidden="1" customWidth="1"/>
    <col min="15641" max="15641" width="7.7109375" style="65" customWidth="1"/>
    <col min="15642" max="15642" width="4.7109375" style="65" customWidth="1"/>
    <col min="15643" max="15643" width="5.28515625" style="65" customWidth="1"/>
    <col min="15644" max="15644" width="7.5703125" style="65" customWidth="1"/>
    <col min="15645" max="15653" width="0" style="65" hidden="1" customWidth="1"/>
    <col min="15654" max="15872" width="9.140625" style="65"/>
    <col min="15873" max="15873" width="3.28515625" style="65" customWidth="1"/>
    <col min="15874" max="15874" width="14.140625" style="65" customWidth="1"/>
    <col min="15875" max="15875" width="4.7109375" style="65" customWidth="1"/>
    <col min="15876" max="15876" width="3.28515625" style="65" customWidth="1"/>
    <col min="15877" max="15877" width="6.140625" style="65" customWidth="1"/>
    <col min="15878" max="15878" width="7.42578125" style="65" customWidth="1"/>
    <col min="15879" max="15879" width="7" style="65" customWidth="1"/>
    <col min="15880" max="15880" width="5.140625" style="65" customWidth="1"/>
    <col min="15881" max="15881" width="5.28515625" style="65" customWidth="1"/>
    <col min="15882" max="15882" width="5" style="65" customWidth="1"/>
    <col min="15883" max="15883" width="7.5703125" style="65" customWidth="1"/>
    <col min="15884" max="15884" width="5.85546875" style="65" customWidth="1"/>
    <col min="15885" max="15885" width="6.140625" style="65" customWidth="1"/>
    <col min="15886" max="15886" width="5.7109375" style="65" customWidth="1"/>
    <col min="15887" max="15887" width="7" style="65" customWidth="1"/>
    <col min="15888" max="15889" width="5.5703125" style="65" customWidth="1"/>
    <col min="15890" max="15890" width="5.7109375" style="65" customWidth="1"/>
    <col min="15891" max="15891" width="5.28515625" style="65" customWidth="1"/>
    <col min="15892" max="15893" width="0" style="65" hidden="1" customWidth="1"/>
    <col min="15894" max="15894" width="4.85546875" style="65" customWidth="1"/>
    <col min="15895" max="15896" width="0" style="65" hidden="1" customWidth="1"/>
    <col min="15897" max="15897" width="7.7109375" style="65" customWidth="1"/>
    <col min="15898" max="15898" width="4.7109375" style="65" customWidth="1"/>
    <col min="15899" max="15899" width="5.28515625" style="65" customWidth="1"/>
    <col min="15900" max="15900" width="7.5703125" style="65" customWidth="1"/>
    <col min="15901" max="15909" width="0" style="65" hidden="1" customWidth="1"/>
    <col min="15910" max="16128" width="9.140625" style="65"/>
    <col min="16129" max="16129" width="3.28515625" style="65" customWidth="1"/>
    <col min="16130" max="16130" width="14.140625" style="65" customWidth="1"/>
    <col min="16131" max="16131" width="4.7109375" style="65" customWidth="1"/>
    <col min="16132" max="16132" width="3.28515625" style="65" customWidth="1"/>
    <col min="16133" max="16133" width="6.140625" style="65" customWidth="1"/>
    <col min="16134" max="16134" width="7.42578125" style="65" customWidth="1"/>
    <col min="16135" max="16135" width="7" style="65" customWidth="1"/>
    <col min="16136" max="16136" width="5.140625" style="65" customWidth="1"/>
    <col min="16137" max="16137" width="5.28515625" style="65" customWidth="1"/>
    <col min="16138" max="16138" width="5" style="65" customWidth="1"/>
    <col min="16139" max="16139" width="7.5703125" style="65" customWidth="1"/>
    <col min="16140" max="16140" width="5.85546875" style="65" customWidth="1"/>
    <col min="16141" max="16141" width="6.140625" style="65" customWidth="1"/>
    <col min="16142" max="16142" width="5.7109375" style="65" customWidth="1"/>
    <col min="16143" max="16143" width="7" style="65" customWidth="1"/>
    <col min="16144" max="16145" width="5.5703125" style="65" customWidth="1"/>
    <col min="16146" max="16146" width="5.7109375" style="65" customWidth="1"/>
    <col min="16147" max="16147" width="5.28515625" style="65" customWidth="1"/>
    <col min="16148" max="16149" width="0" style="65" hidden="1" customWidth="1"/>
    <col min="16150" max="16150" width="4.85546875" style="65" customWidth="1"/>
    <col min="16151" max="16152" width="0" style="65" hidden="1" customWidth="1"/>
    <col min="16153" max="16153" width="7.7109375" style="65" customWidth="1"/>
    <col min="16154" max="16154" width="4.7109375" style="65" customWidth="1"/>
    <col min="16155" max="16155" width="5.28515625" style="65" customWidth="1"/>
    <col min="16156" max="16156" width="7.5703125" style="65" customWidth="1"/>
    <col min="16157" max="16165" width="0" style="65" hidden="1" customWidth="1"/>
    <col min="16166" max="16384" width="9.140625" style="65"/>
  </cols>
  <sheetData>
    <row r="1" spans="1:83" ht="13.5" x14ac:dyDescent="0.25">
      <c r="A1" s="58"/>
      <c r="B1" s="723" t="s">
        <v>82</v>
      </c>
      <c r="C1" s="723"/>
      <c r="D1" s="723"/>
      <c r="E1" s="723"/>
      <c r="F1" s="723"/>
      <c r="G1" s="59"/>
      <c r="H1" s="60"/>
      <c r="I1" s="60"/>
      <c r="J1" s="60"/>
      <c r="K1" s="61"/>
      <c r="L1" s="62"/>
      <c r="M1" s="62"/>
      <c r="N1" s="62"/>
      <c r="O1" s="62"/>
      <c r="P1" s="63"/>
      <c r="Q1" s="63"/>
      <c r="R1" s="63"/>
      <c r="S1" s="724" t="s">
        <v>83</v>
      </c>
      <c r="T1" s="724"/>
      <c r="U1" s="724"/>
      <c r="V1" s="724"/>
      <c r="W1" s="724"/>
      <c r="X1" s="724"/>
      <c r="Y1" s="724"/>
      <c r="Z1" s="724"/>
      <c r="AA1" s="724"/>
      <c r="AB1" s="724"/>
      <c r="AC1" s="64"/>
      <c r="AD1" s="64"/>
      <c r="AE1" s="64"/>
      <c r="AF1" s="64"/>
      <c r="AG1" s="64"/>
      <c r="AH1" s="64"/>
      <c r="AI1" s="64"/>
      <c r="AJ1" s="64"/>
      <c r="AK1" s="64"/>
    </row>
    <row r="2" spans="1:83" ht="13.5" x14ac:dyDescent="0.25">
      <c r="A2" s="58"/>
      <c r="B2" s="725" t="s">
        <v>84</v>
      </c>
      <c r="C2" s="725"/>
      <c r="D2" s="725"/>
      <c r="E2" s="725"/>
      <c r="F2" s="725"/>
      <c r="G2" s="725"/>
      <c r="H2" s="725"/>
      <c r="I2" s="66"/>
      <c r="J2" s="66"/>
      <c r="K2" s="67"/>
      <c r="L2" s="68"/>
      <c r="M2" s="68"/>
      <c r="N2" s="68"/>
      <c r="O2" s="68"/>
      <c r="P2" s="69"/>
      <c r="Q2" s="69"/>
      <c r="R2" s="726" t="s">
        <v>85</v>
      </c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0"/>
      <c r="AD2" s="70"/>
      <c r="AE2" s="70"/>
      <c r="AF2" s="70"/>
      <c r="AG2" s="70"/>
      <c r="AH2" s="70"/>
      <c r="AI2" s="70"/>
      <c r="AJ2" s="70"/>
      <c r="AK2" s="70"/>
    </row>
    <row r="3" spans="1:83" ht="13.5" x14ac:dyDescent="0.25">
      <c r="A3" s="58"/>
      <c r="B3" s="727" t="s">
        <v>86</v>
      </c>
      <c r="C3" s="727"/>
      <c r="D3" s="727"/>
      <c r="E3" s="727"/>
      <c r="F3" s="727"/>
      <c r="G3" s="727"/>
      <c r="H3" s="727"/>
      <c r="I3" s="71"/>
      <c r="J3" s="71"/>
      <c r="K3" s="72"/>
      <c r="L3" s="73"/>
      <c r="M3" s="73"/>
      <c r="N3" s="73"/>
      <c r="O3" s="73"/>
      <c r="P3" s="74"/>
      <c r="Q3" s="74"/>
      <c r="R3" s="728" t="s">
        <v>87</v>
      </c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5"/>
      <c r="AD3" s="75"/>
      <c r="AE3" s="75"/>
      <c r="AF3" s="75"/>
      <c r="AG3" s="75"/>
      <c r="AH3" s="75"/>
      <c r="AI3" s="75"/>
      <c r="AJ3" s="75"/>
      <c r="AK3" s="75"/>
    </row>
    <row r="4" spans="1:83" ht="13.5" x14ac:dyDescent="0.25">
      <c r="A4" s="58"/>
      <c r="B4" s="741" t="s">
        <v>88</v>
      </c>
      <c r="C4" s="741"/>
      <c r="D4" s="741"/>
      <c r="E4" s="741"/>
      <c r="F4" s="741"/>
      <c r="G4" s="741"/>
      <c r="H4" s="741"/>
      <c r="I4" s="76"/>
      <c r="J4" s="76"/>
      <c r="K4" s="77"/>
      <c r="L4" s="78"/>
      <c r="M4" s="78"/>
      <c r="N4" s="78"/>
      <c r="O4" s="78"/>
      <c r="P4" s="79"/>
      <c r="Q4" s="79"/>
      <c r="R4" s="742" t="s">
        <v>88</v>
      </c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80"/>
      <c r="AD4" s="80"/>
      <c r="AE4" s="80"/>
      <c r="AF4" s="80"/>
      <c r="AG4" s="80"/>
      <c r="AH4" s="80"/>
      <c r="AI4" s="80"/>
      <c r="AJ4" s="81"/>
      <c r="AK4" s="81"/>
    </row>
    <row r="5" spans="1:83" ht="13.5" x14ac:dyDescent="0.25">
      <c r="A5" s="58"/>
      <c r="B5" s="82"/>
      <c r="C5" s="82"/>
      <c r="D5" s="82"/>
      <c r="E5" s="77"/>
      <c r="F5" s="83"/>
      <c r="G5" s="83"/>
      <c r="H5" s="76"/>
      <c r="I5" s="76"/>
      <c r="J5" s="76"/>
      <c r="K5" s="77"/>
      <c r="L5" s="78"/>
      <c r="M5" s="78"/>
      <c r="N5" s="78"/>
      <c r="O5" s="78"/>
      <c r="P5" s="79"/>
      <c r="Q5" s="79"/>
      <c r="R5" s="79"/>
      <c r="S5" s="76"/>
      <c r="T5" s="77"/>
      <c r="U5" s="77"/>
      <c r="V5" s="76"/>
      <c r="W5" s="83"/>
      <c r="X5" s="83"/>
      <c r="Y5" s="83"/>
      <c r="Z5" s="76"/>
      <c r="AA5" s="83"/>
      <c r="AB5" s="76"/>
      <c r="AC5" s="80"/>
      <c r="AD5" s="80"/>
      <c r="AE5" s="80"/>
      <c r="AF5" s="80"/>
      <c r="AG5" s="80"/>
      <c r="AH5" s="80"/>
      <c r="AI5" s="80"/>
      <c r="AJ5" s="81"/>
      <c r="AK5" s="81"/>
    </row>
    <row r="6" spans="1:83" ht="13.5" x14ac:dyDescent="0.25">
      <c r="A6" s="58"/>
      <c r="B6" s="84" t="s">
        <v>89</v>
      </c>
      <c r="C6" s="84"/>
      <c r="D6" s="84"/>
      <c r="E6" s="77"/>
      <c r="F6" s="83"/>
      <c r="G6" s="83"/>
      <c r="H6" s="76"/>
      <c r="I6" s="76"/>
      <c r="J6" s="76"/>
      <c r="K6" s="77"/>
      <c r="L6" s="78"/>
      <c r="M6" s="78"/>
      <c r="N6" s="78"/>
      <c r="O6" s="78"/>
      <c r="P6" s="79"/>
      <c r="Q6" s="79"/>
      <c r="R6" s="79"/>
      <c r="S6" s="76"/>
      <c r="T6" s="77"/>
      <c r="U6" s="77"/>
      <c r="V6" s="76"/>
      <c r="W6" s="83"/>
      <c r="X6" s="83"/>
      <c r="Y6" s="83"/>
      <c r="Z6" s="76"/>
      <c r="AA6" s="83"/>
      <c r="AB6" s="76"/>
      <c r="AC6" s="80"/>
      <c r="AD6" s="80"/>
      <c r="AE6" s="80"/>
      <c r="AF6" s="80"/>
      <c r="AG6" s="80"/>
      <c r="AH6" s="80"/>
      <c r="AI6" s="80"/>
    </row>
    <row r="7" spans="1:83" ht="13.5" x14ac:dyDescent="0.25">
      <c r="A7" s="58"/>
      <c r="B7" s="743" t="s">
        <v>90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80"/>
      <c r="AD7" s="80"/>
      <c r="AE7" s="80"/>
      <c r="AF7" s="80"/>
      <c r="AG7" s="80"/>
      <c r="AH7" s="80"/>
      <c r="AI7" s="80"/>
    </row>
    <row r="8" spans="1:83" ht="13.5" x14ac:dyDescent="0.25">
      <c r="A8" s="58"/>
      <c r="B8" s="743"/>
      <c r="C8" s="743"/>
      <c r="D8" s="743"/>
      <c r="E8" s="85"/>
      <c r="F8" s="59"/>
      <c r="G8" s="59"/>
      <c r="H8" s="86"/>
      <c r="I8" s="86"/>
      <c r="J8" s="86"/>
      <c r="K8" s="85"/>
      <c r="L8" s="87"/>
      <c r="M8" s="87"/>
      <c r="N8" s="87"/>
      <c r="O8" s="87"/>
      <c r="P8" s="88"/>
      <c r="Q8" s="88"/>
      <c r="R8" s="88"/>
      <c r="S8" s="86"/>
      <c r="T8" s="85"/>
      <c r="U8" s="85"/>
      <c r="V8" s="86"/>
      <c r="W8" s="744"/>
      <c r="X8" s="744"/>
      <c r="Y8" s="744"/>
      <c r="Z8" s="76"/>
      <c r="AA8" s="83"/>
      <c r="AB8" s="76"/>
      <c r="AC8" s="80"/>
      <c r="AD8" s="80"/>
      <c r="AE8" s="80"/>
      <c r="AF8" s="80"/>
      <c r="AG8" s="80"/>
      <c r="AH8" s="80"/>
      <c r="AI8" s="80"/>
    </row>
    <row r="9" spans="1:83" ht="13.5" x14ac:dyDescent="0.25">
      <c r="A9" s="58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89"/>
      <c r="S9" s="90"/>
      <c r="T9" s="91"/>
      <c r="U9" s="91"/>
      <c r="V9" s="90"/>
      <c r="W9" s="746"/>
      <c r="X9" s="746"/>
      <c r="Y9" s="746"/>
      <c r="Z9" s="746"/>
      <c r="AA9" s="746"/>
      <c r="AB9" s="746"/>
      <c r="AC9" s="80"/>
      <c r="AD9" s="80"/>
      <c r="AE9" s="80"/>
      <c r="AF9" s="80"/>
      <c r="AG9" s="80"/>
      <c r="AH9" s="80"/>
      <c r="AI9" s="80"/>
    </row>
    <row r="10" spans="1:83" ht="13.5" x14ac:dyDescent="0.25">
      <c r="A10" s="590" t="s">
        <v>33</v>
      </c>
      <c r="B10" s="729" t="s">
        <v>91</v>
      </c>
      <c r="C10" s="730"/>
      <c r="D10" s="731"/>
      <c r="E10" s="738" t="s">
        <v>92</v>
      </c>
      <c r="F10" s="713" t="s">
        <v>93</v>
      </c>
      <c r="G10" s="583" t="s">
        <v>94</v>
      </c>
      <c r="H10" s="583"/>
      <c r="I10" s="583"/>
      <c r="J10" s="583"/>
      <c r="K10" s="578" t="s">
        <v>95</v>
      </c>
      <c r="L10" s="578"/>
      <c r="M10" s="578"/>
      <c r="N10" s="578"/>
      <c r="O10" s="578"/>
      <c r="P10" s="720" t="s">
        <v>96</v>
      </c>
      <c r="Q10" s="721"/>
      <c r="R10" s="721"/>
      <c r="S10" s="722"/>
      <c r="T10" s="587" t="s">
        <v>97</v>
      </c>
      <c r="U10" s="588" t="s">
        <v>98</v>
      </c>
      <c r="V10" s="711" t="s">
        <v>99</v>
      </c>
      <c r="W10" s="586" t="s">
        <v>100</v>
      </c>
      <c r="X10" s="713" t="s">
        <v>101</v>
      </c>
      <c r="Y10" s="713" t="s">
        <v>102</v>
      </c>
      <c r="Z10" s="711" t="s">
        <v>103</v>
      </c>
      <c r="AA10" s="717" t="s">
        <v>104</v>
      </c>
      <c r="AB10" s="711" t="s">
        <v>105</v>
      </c>
      <c r="AC10" s="578" t="s">
        <v>106</v>
      </c>
      <c r="AD10" s="578" t="s">
        <v>107</v>
      </c>
      <c r="AE10" s="578" t="s">
        <v>108</v>
      </c>
      <c r="AF10" s="578" t="s">
        <v>109</v>
      </c>
      <c r="AG10" s="578" t="s">
        <v>110</v>
      </c>
      <c r="AH10" s="578" t="s">
        <v>111</v>
      </c>
      <c r="AI10" s="578" t="s">
        <v>112</v>
      </c>
      <c r="AJ10" s="579" t="s">
        <v>113</v>
      </c>
      <c r="AK10" s="581" t="s">
        <v>114</v>
      </c>
    </row>
    <row r="11" spans="1:83" x14ac:dyDescent="0.25">
      <c r="A11" s="590"/>
      <c r="B11" s="732"/>
      <c r="C11" s="733"/>
      <c r="D11" s="734"/>
      <c r="E11" s="739"/>
      <c r="F11" s="714"/>
      <c r="G11" s="583">
        <v>1</v>
      </c>
      <c r="H11" s="583">
        <v>2</v>
      </c>
      <c r="I11" s="583">
        <v>3</v>
      </c>
      <c r="J11" s="583">
        <v>4</v>
      </c>
      <c r="K11" s="578"/>
      <c r="L11" s="578"/>
      <c r="M11" s="578"/>
      <c r="N11" s="578"/>
      <c r="O11" s="578"/>
      <c r="P11" s="659">
        <v>2</v>
      </c>
      <c r="Q11" s="696">
        <v>3</v>
      </c>
      <c r="R11" s="696">
        <v>4</v>
      </c>
      <c r="S11" s="711" t="s">
        <v>115</v>
      </c>
      <c r="T11" s="587"/>
      <c r="U11" s="588"/>
      <c r="V11" s="716"/>
      <c r="W11" s="586"/>
      <c r="X11" s="714"/>
      <c r="Y11" s="714"/>
      <c r="Z11" s="716"/>
      <c r="AA11" s="718"/>
      <c r="AB11" s="716"/>
      <c r="AC11" s="578"/>
      <c r="AD11" s="578"/>
      <c r="AE11" s="578"/>
      <c r="AF11" s="578"/>
      <c r="AG11" s="578"/>
      <c r="AH11" s="578"/>
      <c r="AI11" s="578"/>
      <c r="AJ11" s="580"/>
      <c r="AK11" s="581"/>
    </row>
    <row r="12" spans="1:83" ht="15.75" x14ac:dyDescent="0.25">
      <c r="A12" s="590"/>
      <c r="B12" s="735"/>
      <c r="C12" s="736"/>
      <c r="D12" s="737"/>
      <c r="E12" s="740"/>
      <c r="F12" s="715"/>
      <c r="G12" s="583"/>
      <c r="H12" s="583"/>
      <c r="I12" s="583"/>
      <c r="J12" s="583"/>
      <c r="K12" s="92">
        <v>1</v>
      </c>
      <c r="L12" s="92">
        <v>2</v>
      </c>
      <c r="M12" s="92">
        <v>3</v>
      </c>
      <c r="N12" s="92">
        <v>4</v>
      </c>
      <c r="O12" s="93" t="s">
        <v>115</v>
      </c>
      <c r="P12" s="659"/>
      <c r="Q12" s="697"/>
      <c r="R12" s="697"/>
      <c r="S12" s="712"/>
      <c r="T12" s="587"/>
      <c r="U12" s="588"/>
      <c r="V12" s="712"/>
      <c r="W12" s="586"/>
      <c r="X12" s="715"/>
      <c r="Y12" s="715"/>
      <c r="Z12" s="712"/>
      <c r="AA12" s="719"/>
      <c r="AB12" s="712"/>
      <c r="AC12" s="578"/>
      <c r="AD12" s="578"/>
      <c r="AE12" s="578"/>
      <c r="AF12" s="578"/>
      <c r="AG12" s="578"/>
      <c r="AH12" s="578"/>
      <c r="AI12" s="578"/>
      <c r="AJ12" s="580"/>
      <c r="AK12" s="5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</row>
    <row r="13" spans="1:83" s="102" customFormat="1" ht="14.25" thickBot="1" x14ac:dyDescent="0.3">
      <c r="A13" s="94">
        <v>1</v>
      </c>
      <c r="B13" s="95">
        <f>A13+1</f>
        <v>2</v>
      </c>
      <c r="C13" s="96"/>
      <c r="D13" s="97"/>
      <c r="E13" s="94"/>
      <c r="F13" s="98"/>
      <c r="G13" s="98">
        <v>4</v>
      </c>
      <c r="H13" s="98">
        <v>5</v>
      </c>
      <c r="I13" s="98">
        <v>6</v>
      </c>
      <c r="J13" s="98">
        <v>7</v>
      </c>
      <c r="K13" s="94"/>
      <c r="L13" s="99"/>
      <c r="M13" s="99"/>
      <c r="N13" s="99"/>
      <c r="O13" s="99">
        <v>8</v>
      </c>
      <c r="P13" s="100"/>
      <c r="Q13" s="100">
        <v>9</v>
      </c>
      <c r="R13" s="100">
        <v>10</v>
      </c>
      <c r="S13" s="98">
        <v>11</v>
      </c>
      <c r="T13" s="94">
        <v>11</v>
      </c>
      <c r="U13" s="94">
        <v>12</v>
      </c>
      <c r="V13" s="98">
        <v>12</v>
      </c>
      <c r="W13" s="98">
        <v>14</v>
      </c>
      <c r="X13" s="98">
        <v>15</v>
      </c>
      <c r="Y13" s="98">
        <v>13</v>
      </c>
      <c r="Z13" s="98">
        <v>14</v>
      </c>
      <c r="AA13" s="98">
        <v>15</v>
      </c>
      <c r="AB13" s="98">
        <v>16</v>
      </c>
      <c r="AC13" s="101">
        <v>17</v>
      </c>
      <c r="AD13" s="101">
        <v>18</v>
      </c>
      <c r="AE13" s="101">
        <v>19</v>
      </c>
      <c r="AF13" s="101">
        <v>20</v>
      </c>
      <c r="AG13" s="101">
        <v>21</v>
      </c>
      <c r="AH13" s="101">
        <v>22</v>
      </c>
      <c r="AI13" s="101">
        <v>23</v>
      </c>
      <c r="AJ13" s="101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</row>
    <row r="14" spans="1:83" s="109" customFormat="1" ht="14.25" thickBot="1" x14ac:dyDescent="0.3">
      <c r="A14" s="104"/>
      <c r="B14" s="675" t="s">
        <v>116</v>
      </c>
      <c r="C14" s="676"/>
      <c r="D14" s="677"/>
      <c r="E14" s="105"/>
      <c r="F14" s="105"/>
      <c r="G14" s="105"/>
      <c r="H14" s="106"/>
      <c r="I14" s="106"/>
      <c r="J14" s="106"/>
      <c r="K14" s="105"/>
      <c r="L14" s="107"/>
      <c r="M14" s="107"/>
      <c r="N14" s="107"/>
      <c r="O14" s="107"/>
      <c r="P14" s="107"/>
      <c r="Q14" s="107"/>
      <c r="R14" s="107"/>
      <c r="S14" s="106"/>
      <c r="T14" s="105"/>
      <c r="U14" s="105"/>
      <c r="V14" s="106"/>
      <c r="W14" s="105"/>
      <c r="X14" s="105"/>
      <c r="Y14" s="105"/>
      <c r="Z14" s="106"/>
      <c r="AA14" s="105"/>
      <c r="AB14" s="108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</row>
    <row r="15" spans="1:83" s="120" customFormat="1" ht="13.5" x14ac:dyDescent="0.25">
      <c r="A15" s="111">
        <v>1</v>
      </c>
      <c r="B15" s="112" t="s">
        <v>117</v>
      </c>
      <c r="C15" s="112">
        <v>3</v>
      </c>
      <c r="D15" s="112">
        <v>1</v>
      </c>
      <c r="E15" s="113"/>
      <c r="F15" s="113">
        <v>929</v>
      </c>
      <c r="G15" s="113">
        <v>479</v>
      </c>
      <c r="H15" s="114">
        <v>308</v>
      </c>
      <c r="I15" s="114">
        <v>142</v>
      </c>
      <c r="J15" s="114"/>
      <c r="K15" s="113">
        <f>G15</f>
        <v>479</v>
      </c>
      <c r="L15" s="115">
        <f>H15/2</f>
        <v>154</v>
      </c>
      <c r="M15" s="115">
        <f>I15/2</f>
        <v>71</v>
      </c>
      <c r="N15" s="115">
        <f>J15/2</f>
        <v>0</v>
      </c>
      <c r="O15" s="115">
        <f>SUM(K15:N15)</f>
        <v>704</v>
      </c>
      <c r="P15" s="115">
        <f>H15/2</f>
        <v>154</v>
      </c>
      <c r="Q15" s="115">
        <f>I15/2</f>
        <v>71</v>
      </c>
      <c r="R15" s="115">
        <f>J15/2</f>
        <v>0</v>
      </c>
      <c r="S15" s="114">
        <f>SUM(P15:R15)</f>
        <v>225</v>
      </c>
      <c r="T15" s="113"/>
      <c r="U15" s="113"/>
      <c r="V15" s="114">
        <v>0</v>
      </c>
      <c r="W15" s="113">
        <v>5140</v>
      </c>
      <c r="X15" s="113"/>
      <c r="Y15" s="113">
        <v>5140</v>
      </c>
      <c r="Z15" s="114">
        <v>0</v>
      </c>
      <c r="AA15" s="113"/>
      <c r="AB15" s="116">
        <v>6069</v>
      </c>
      <c r="AC15" s="117"/>
      <c r="AD15" s="118">
        <f t="shared" ref="AD15:AD58" si="0">O15-AC15</f>
        <v>704</v>
      </c>
      <c r="AE15" s="118"/>
      <c r="AF15" s="118" t="e">
        <f>#REF!-AE15</f>
        <v>#REF!</v>
      </c>
      <c r="AG15" s="118">
        <v>12</v>
      </c>
      <c r="AH15" s="118" t="e">
        <f>#REF!-AG15</f>
        <v>#REF!</v>
      </c>
      <c r="AI15" s="118"/>
      <c r="AJ15" s="119"/>
      <c r="AK15" s="120" t="e">
        <f>#REF!+S15+W15+T15</f>
        <v>#REF!</v>
      </c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</row>
    <row r="16" spans="1:83" s="109" customFormat="1" ht="13.5" x14ac:dyDescent="0.25">
      <c r="A16" s="121">
        <v>2</v>
      </c>
      <c r="B16" s="122" t="s">
        <v>117</v>
      </c>
      <c r="C16" s="122">
        <v>3</v>
      </c>
      <c r="D16" s="122">
        <v>2</v>
      </c>
      <c r="E16" s="123">
        <f>72.1+657.66</f>
        <v>729.76</v>
      </c>
      <c r="F16" s="123">
        <f>1018+E16</f>
        <v>1747.76</v>
      </c>
      <c r="G16" s="123">
        <f>100+E16</f>
        <v>829.76</v>
      </c>
      <c r="H16" s="118">
        <v>200</v>
      </c>
      <c r="I16" s="118">
        <v>718</v>
      </c>
      <c r="J16" s="118"/>
      <c r="K16" s="123">
        <f t="shared" ref="K16:K79" si="1">G16</f>
        <v>829.76</v>
      </c>
      <c r="L16" s="124">
        <f t="shared" ref="L16:N78" si="2">H16/2</f>
        <v>100</v>
      </c>
      <c r="M16" s="124">
        <f t="shared" si="2"/>
        <v>359</v>
      </c>
      <c r="N16" s="124">
        <f t="shared" si="2"/>
        <v>0</v>
      </c>
      <c r="O16" s="124">
        <f t="shared" ref="O16:O78" si="3">SUM(K16:N16)</f>
        <v>1288.76</v>
      </c>
      <c r="P16" s="124">
        <f t="shared" ref="P16:R78" si="4">H16/2</f>
        <v>100</v>
      </c>
      <c r="Q16" s="124">
        <f t="shared" si="4"/>
        <v>359</v>
      </c>
      <c r="R16" s="124">
        <f t="shared" si="4"/>
        <v>0</v>
      </c>
      <c r="S16" s="118">
        <f t="shared" ref="S16:S79" si="5">SUM(P16:R16)</f>
        <v>459</v>
      </c>
      <c r="T16" s="123">
        <v>91</v>
      </c>
      <c r="U16" s="123"/>
      <c r="V16" s="118">
        <v>91</v>
      </c>
      <c r="W16" s="123">
        <v>7102</v>
      </c>
      <c r="X16" s="123"/>
      <c r="Y16" s="123">
        <f>7102-E16</f>
        <v>6372.24</v>
      </c>
      <c r="Z16" s="118">
        <v>0</v>
      </c>
      <c r="AA16" s="123">
        <v>10.5</v>
      </c>
      <c r="AB16" s="125">
        <v>8211</v>
      </c>
      <c r="AC16" s="117"/>
      <c r="AD16" s="118">
        <f t="shared" si="0"/>
        <v>1288.76</v>
      </c>
      <c r="AE16" s="118"/>
      <c r="AF16" s="118" t="e">
        <f>#REF!-AE16</f>
        <v>#REF!</v>
      </c>
      <c r="AG16" s="118"/>
      <c r="AH16" s="118" t="e">
        <f>#REF!-AG16</f>
        <v>#REF!</v>
      </c>
      <c r="AI16" s="118">
        <v>11</v>
      </c>
      <c r="AJ16" s="119"/>
      <c r="AK16" s="120" t="e">
        <f>#REF!+S16+W16+T16</f>
        <v>#REF!</v>
      </c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</row>
    <row r="17" spans="1:83" s="109" customFormat="1" ht="13.5" x14ac:dyDescent="0.25">
      <c r="A17" s="121">
        <v>3</v>
      </c>
      <c r="B17" s="122" t="s">
        <v>117</v>
      </c>
      <c r="C17" s="122">
        <v>5</v>
      </c>
      <c r="D17" s="122"/>
      <c r="E17" s="123">
        <f>167.75</f>
        <v>167.75</v>
      </c>
      <c r="F17" s="123">
        <f>778+E17</f>
        <v>945.75</v>
      </c>
      <c r="G17" s="123">
        <v>391.75</v>
      </c>
      <c r="H17" s="118">
        <v>53</v>
      </c>
      <c r="I17" s="118">
        <f>625-124</f>
        <v>501</v>
      </c>
      <c r="J17" s="118"/>
      <c r="K17" s="123">
        <f t="shared" si="1"/>
        <v>391.75</v>
      </c>
      <c r="L17" s="124">
        <f t="shared" si="2"/>
        <v>26.5</v>
      </c>
      <c r="M17" s="124">
        <f t="shared" si="2"/>
        <v>250.5</v>
      </c>
      <c r="N17" s="124">
        <f t="shared" si="2"/>
        <v>0</v>
      </c>
      <c r="O17" s="124">
        <f t="shared" si="3"/>
        <v>668.75</v>
      </c>
      <c r="P17" s="124">
        <f t="shared" si="4"/>
        <v>26.5</v>
      </c>
      <c r="Q17" s="124">
        <f t="shared" si="4"/>
        <v>250.5</v>
      </c>
      <c r="R17" s="124">
        <f t="shared" si="4"/>
        <v>0</v>
      </c>
      <c r="S17" s="118">
        <f t="shared" si="5"/>
        <v>277</v>
      </c>
      <c r="T17" s="123">
        <v>86</v>
      </c>
      <c r="U17" s="123"/>
      <c r="V17" s="118">
        <v>86</v>
      </c>
      <c r="W17" s="123">
        <v>6617</v>
      </c>
      <c r="X17" s="123"/>
      <c r="Y17" s="123">
        <f>6617-E17</f>
        <v>6449.25</v>
      </c>
      <c r="Z17" s="118">
        <v>0</v>
      </c>
      <c r="AA17" s="123">
        <v>10.5</v>
      </c>
      <c r="AB17" s="125">
        <v>7481</v>
      </c>
      <c r="AC17" s="117"/>
      <c r="AD17" s="118">
        <f t="shared" si="0"/>
        <v>668.75</v>
      </c>
      <c r="AE17" s="118"/>
      <c r="AF17" s="118" t="e">
        <f>#REF!-AE17</f>
        <v>#REF!</v>
      </c>
      <c r="AG17" s="118"/>
      <c r="AH17" s="118" t="e">
        <f>#REF!-AG17</f>
        <v>#REF!</v>
      </c>
      <c r="AI17" s="118">
        <v>11</v>
      </c>
      <c r="AJ17" s="119"/>
      <c r="AK17" s="120" t="e">
        <f>#REF!+S17+W17+T17</f>
        <v>#REF!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</row>
    <row r="18" spans="1:83" s="109" customFormat="1" ht="13.5" x14ac:dyDescent="0.25">
      <c r="A18" s="121">
        <v>4</v>
      </c>
      <c r="B18" s="122" t="s">
        <v>117</v>
      </c>
      <c r="C18" s="122">
        <v>7</v>
      </c>
      <c r="D18" s="122">
        <v>1</v>
      </c>
      <c r="E18" s="123"/>
      <c r="F18" s="123">
        <v>1372</v>
      </c>
      <c r="G18" s="123">
        <f>70</f>
        <v>70</v>
      </c>
      <c r="H18" s="118">
        <v>100</v>
      </c>
      <c r="I18" s="118">
        <v>1202</v>
      </c>
      <c r="J18" s="118"/>
      <c r="K18" s="123">
        <f t="shared" si="1"/>
        <v>70</v>
      </c>
      <c r="L18" s="124">
        <f t="shared" si="2"/>
        <v>50</v>
      </c>
      <c r="M18" s="124">
        <f t="shared" si="2"/>
        <v>601</v>
      </c>
      <c r="N18" s="124">
        <f t="shared" si="2"/>
        <v>0</v>
      </c>
      <c r="O18" s="124">
        <f t="shared" si="3"/>
        <v>721</v>
      </c>
      <c r="P18" s="124">
        <f t="shared" si="4"/>
        <v>50</v>
      </c>
      <c r="Q18" s="124">
        <f t="shared" si="4"/>
        <v>601</v>
      </c>
      <c r="R18" s="124">
        <f t="shared" si="4"/>
        <v>0</v>
      </c>
      <c r="S18" s="118">
        <f t="shared" si="5"/>
        <v>651</v>
      </c>
      <c r="T18" s="123">
        <v>294</v>
      </c>
      <c r="U18" s="123"/>
      <c r="V18" s="118">
        <v>294</v>
      </c>
      <c r="W18" s="123">
        <v>3992</v>
      </c>
      <c r="X18" s="123"/>
      <c r="Y18" s="123">
        <v>3992</v>
      </c>
      <c r="Z18" s="118">
        <v>0</v>
      </c>
      <c r="AA18" s="123"/>
      <c r="AB18" s="125">
        <v>5658</v>
      </c>
      <c r="AC18" s="117"/>
      <c r="AD18" s="118">
        <f t="shared" si="0"/>
        <v>721</v>
      </c>
      <c r="AE18" s="118"/>
      <c r="AF18" s="118" t="e">
        <f>#REF!-AE18</f>
        <v>#REF!</v>
      </c>
      <c r="AG18" s="118"/>
      <c r="AH18" s="118" t="e">
        <f>#REF!-AG18</f>
        <v>#REF!</v>
      </c>
      <c r="AI18" s="118"/>
      <c r="AJ18" s="119"/>
      <c r="AK18" s="120" t="e">
        <f>#REF!+S18+W18+T18</f>
        <v>#REF!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</row>
    <row r="19" spans="1:83" s="109" customFormat="1" ht="13.5" x14ac:dyDescent="0.25">
      <c r="A19" s="121">
        <v>5</v>
      </c>
      <c r="B19" s="122" t="s">
        <v>117</v>
      </c>
      <c r="C19" s="122">
        <v>7</v>
      </c>
      <c r="D19" s="122">
        <v>2</v>
      </c>
      <c r="E19" s="123">
        <f>218.25</f>
        <v>218.25</v>
      </c>
      <c r="F19" s="123">
        <f>1121+E19</f>
        <v>1339.25</v>
      </c>
      <c r="G19" s="123">
        <v>288.25</v>
      </c>
      <c r="H19" s="118">
        <v>237</v>
      </c>
      <c r="I19" s="118">
        <v>814</v>
      </c>
      <c r="J19" s="118"/>
      <c r="K19" s="123">
        <f t="shared" si="1"/>
        <v>288.25</v>
      </c>
      <c r="L19" s="124">
        <f t="shared" si="2"/>
        <v>118.5</v>
      </c>
      <c r="M19" s="124">
        <f t="shared" si="2"/>
        <v>407</v>
      </c>
      <c r="N19" s="124">
        <f t="shared" si="2"/>
        <v>0</v>
      </c>
      <c r="O19" s="124">
        <f t="shared" si="3"/>
        <v>813.75</v>
      </c>
      <c r="P19" s="124">
        <f t="shared" si="4"/>
        <v>118.5</v>
      </c>
      <c r="Q19" s="124">
        <f t="shared" si="4"/>
        <v>407</v>
      </c>
      <c r="R19" s="124">
        <f t="shared" si="4"/>
        <v>0</v>
      </c>
      <c r="S19" s="118">
        <f t="shared" si="5"/>
        <v>525.5</v>
      </c>
      <c r="T19" s="126">
        <f>23</f>
        <v>23</v>
      </c>
      <c r="U19" s="123"/>
      <c r="V19" s="118">
        <v>23</v>
      </c>
      <c r="W19" s="123">
        <v>1907</v>
      </c>
      <c r="X19" s="123"/>
      <c r="Y19" s="123">
        <f>1907-E19</f>
        <v>1688.75</v>
      </c>
      <c r="Z19" s="118">
        <v>0</v>
      </c>
      <c r="AA19" s="123"/>
      <c r="AB19" s="125">
        <v>3051</v>
      </c>
      <c r="AC19" s="117"/>
      <c r="AD19" s="118">
        <f t="shared" si="0"/>
        <v>813.75</v>
      </c>
      <c r="AE19" s="118"/>
      <c r="AF19" s="118" t="e">
        <f>#REF!-AE19</f>
        <v>#REF!</v>
      </c>
      <c r="AG19" s="118"/>
      <c r="AH19" s="118" t="e">
        <f>#REF!-AG19</f>
        <v>#REF!</v>
      </c>
      <c r="AI19" s="118"/>
      <c r="AJ19" s="119"/>
      <c r="AK19" s="120" t="e">
        <f>#REF!+S19+W19+T19</f>
        <v>#REF!</v>
      </c>
    </row>
    <row r="20" spans="1:83" s="109" customFormat="1" ht="13.5" x14ac:dyDescent="0.25">
      <c r="A20" s="121">
        <v>6</v>
      </c>
      <c r="B20" s="122" t="s">
        <v>117</v>
      </c>
      <c r="C20" s="122">
        <v>7</v>
      </c>
      <c r="D20" s="122">
        <v>3</v>
      </c>
      <c r="E20" s="123"/>
      <c r="F20" s="123">
        <v>1033</v>
      </c>
      <c r="G20" s="123">
        <f>70</f>
        <v>70</v>
      </c>
      <c r="H20" s="118">
        <v>100</v>
      </c>
      <c r="I20" s="118">
        <v>863</v>
      </c>
      <c r="J20" s="118"/>
      <c r="K20" s="123">
        <f t="shared" si="1"/>
        <v>70</v>
      </c>
      <c r="L20" s="124">
        <f t="shared" si="2"/>
        <v>50</v>
      </c>
      <c r="M20" s="124">
        <f t="shared" si="2"/>
        <v>431.5</v>
      </c>
      <c r="N20" s="124">
        <f t="shared" si="2"/>
        <v>0</v>
      </c>
      <c r="O20" s="124">
        <f t="shared" si="3"/>
        <v>551.5</v>
      </c>
      <c r="P20" s="124">
        <f t="shared" si="4"/>
        <v>50</v>
      </c>
      <c r="Q20" s="124">
        <f t="shared" si="4"/>
        <v>431.5</v>
      </c>
      <c r="R20" s="124">
        <f t="shared" si="4"/>
        <v>0</v>
      </c>
      <c r="S20" s="118">
        <f t="shared" si="5"/>
        <v>481.5</v>
      </c>
      <c r="T20" s="123">
        <f>165+629</f>
        <v>794</v>
      </c>
      <c r="U20" s="123"/>
      <c r="V20" s="118">
        <v>794</v>
      </c>
      <c r="W20" s="123">
        <v>6177</v>
      </c>
      <c r="X20" s="123"/>
      <c r="Y20" s="123">
        <v>6177</v>
      </c>
      <c r="Z20" s="118">
        <v>773</v>
      </c>
      <c r="AA20" s="123"/>
      <c r="AB20" s="125">
        <v>8777</v>
      </c>
      <c r="AC20" s="117"/>
      <c r="AD20" s="118">
        <f t="shared" si="0"/>
        <v>551.5</v>
      </c>
      <c r="AE20" s="118"/>
      <c r="AF20" s="118" t="e">
        <f>#REF!-AE20</f>
        <v>#REF!</v>
      </c>
      <c r="AG20" s="118">
        <v>42</v>
      </c>
      <c r="AH20" s="118" t="e">
        <f>#REF!-AG20</f>
        <v>#REF!</v>
      </c>
      <c r="AI20" s="118"/>
      <c r="AJ20" s="119"/>
      <c r="AK20" s="120" t="e">
        <f>#REF!+S20+W20+T20</f>
        <v>#REF!</v>
      </c>
    </row>
    <row r="21" spans="1:83" s="109" customFormat="1" ht="13.5" x14ac:dyDescent="0.25">
      <c r="A21" s="121">
        <v>7</v>
      </c>
      <c r="B21" s="122" t="s">
        <v>117</v>
      </c>
      <c r="C21" s="122">
        <v>9</v>
      </c>
      <c r="D21" s="122">
        <v>1</v>
      </c>
      <c r="E21" s="123"/>
      <c r="F21" s="123">
        <v>1704</v>
      </c>
      <c r="G21" s="123">
        <f>70+41</f>
        <v>111</v>
      </c>
      <c r="H21" s="118">
        <v>57</v>
      </c>
      <c r="I21" s="118">
        <f>1577-41</f>
        <v>1536</v>
      </c>
      <c r="J21" s="118"/>
      <c r="K21" s="123">
        <f t="shared" si="1"/>
        <v>111</v>
      </c>
      <c r="L21" s="124">
        <f t="shared" si="2"/>
        <v>28.5</v>
      </c>
      <c r="M21" s="124">
        <f t="shared" si="2"/>
        <v>768</v>
      </c>
      <c r="N21" s="124">
        <f t="shared" si="2"/>
        <v>0</v>
      </c>
      <c r="O21" s="124">
        <f t="shared" si="3"/>
        <v>907.5</v>
      </c>
      <c r="P21" s="124">
        <f t="shared" si="4"/>
        <v>28.5</v>
      </c>
      <c r="Q21" s="124">
        <f t="shared" si="4"/>
        <v>768</v>
      </c>
      <c r="R21" s="124">
        <f t="shared" si="4"/>
        <v>0</v>
      </c>
      <c r="S21" s="118">
        <f t="shared" si="5"/>
        <v>796.5</v>
      </c>
      <c r="T21" s="123">
        <f>10</f>
        <v>10</v>
      </c>
      <c r="U21" s="123"/>
      <c r="V21" s="118">
        <v>10</v>
      </c>
      <c r="W21" s="123">
        <f>18+3697</f>
        <v>3715</v>
      </c>
      <c r="X21" s="123"/>
      <c r="Y21" s="123">
        <v>3715</v>
      </c>
      <c r="Z21" s="118">
        <v>0</v>
      </c>
      <c r="AA21" s="123">
        <v>19</v>
      </c>
      <c r="AB21" s="125">
        <v>5429</v>
      </c>
      <c r="AC21" s="117">
        <v>12</v>
      </c>
      <c r="AD21" s="118">
        <f t="shared" si="0"/>
        <v>895.5</v>
      </c>
      <c r="AE21" s="118"/>
      <c r="AF21" s="118" t="e">
        <f>#REF!-AE21</f>
        <v>#REF!</v>
      </c>
      <c r="AG21" s="118"/>
      <c r="AH21" s="118" t="e">
        <f>#REF!-AG21</f>
        <v>#REF!</v>
      </c>
      <c r="AI21" s="118">
        <v>19</v>
      </c>
      <c r="AJ21" s="119"/>
      <c r="AK21" s="120" t="e">
        <f>#REF!+S21+W21+T21</f>
        <v>#REF!</v>
      </c>
    </row>
    <row r="22" spans="1:83" s="109" customFormat="1" ht="13.5" x14ac:dyDescent="0.25">
      <c r="A22" s="121">
        <v>8</v>
      </c>
      <c r="B22" s="122" t="s">
        <v>117</v>
      </c>
      <c r="C22" s="122">
        <v>9</v>
      </c>
      <c r="D22" s="122">
        <v>2</v>
      </c>
      <c r="E22" s="123">
        <f>289.47</f>
        <v>289.47000000000003</v>
      </c>
      <c r="F22" s="123">
        <f>1026+E22</f>
        <v>1315.47</v>
      </c>
      <c r="G22" s="123">
        <v>412.47</v>
      </c>
      <c r="H22" s="118">
        <v>44</v>
      </c>
      <c r="I22" s="118">
        <f>912-53</f>
        <v>859</v>
      </c>
      <c r="J22" s="118"/>
      <c r="K22" s="123">
        <f t="shared" si="1"/>
        <v>412.47</v>
      </c>
      <c r="L22" s="124">
        <f t="shared" si="2"/>
        <v>22</v>
      </c>
      <c r="M22" s="124">
        <f t="shared" si="2"/>
        <v>429.5</v>
      </c>
      <c r="N22" s="124">
        <f t="shared" si="2"/>
        <v>0</v>
      </c>
      <c r="O22" s="124">
        <f t="shared" si="3"/>
        <v>863.97</v>
      </c>
      <c r="P22" s="124">
        <f t="shared" si="4"/>
        <v>22</v>
      </c>
      <c r="Q22" s="124">
        <f t="shared" si="4"/>
        <v>429.5</v>
      </c>
      <c r="R22" s="124">
        <f t="shared" si="4"/>
        <v>0</v>
      </c>
      <c r="S22" s="118">
        <f t="shared" si="5"/>
        <v>451.5</v>
      </c>
      <c r="T22" s="123">
        <f>205+425</f>
        <v>630</v>
      </c>
      <c r="U22" s="123"/>
      <c r="V22" s="118">
        <v>630</v>
      </c>
      <c r="W22" s="123">
        <v>2399</v>
      </c>
      <c r="X22" s="123"/>
      <c r="Y22" s="123">
        <f>2399-E22</f>
        <v>2109.5299999999997</v>
      </c>
      <c r="Z22" s="118">
        <v>0</v>
      </c>
      <c r="AA22" s="123"/>
      <c r="AB22" s="125">
        <v>4055</v>
      </c>
      <c r="AC22" s="117"/>
      <c r="AD22" s="118">
        <f t="shared" si="0"/>
        <v>863.97</v>
      </c>
      <c r="AE22" s="118"/>
      <c r="AF22" s="118" t="e">
        <f>#REF!-AE22</f>
        <v>#REF!</v>
      </c>
      <c r="AG22" s="118"/>
      <c r="AH22" s="118" t="e">
        <f>#REF!-AG22</f>
        <v>#REF!</v>
      </c>
      <c r="AI22" s="118"/>
      <c r="AJ22" s="119"/>
      <c r="AK22" s="120" t="e">
        <f>#REF!+S22+W22+T22</f>
        <v>#REF!</v>
      </c>
    </row>
    <row r="23" spans="1:83" s="109" customFormat="1" ht="13.5" x14ac:dyDescent="0.25">
      <c r="A23" s="121">
        <v>9</v>
      </c>
      <c r="B23" s="122" t="s">
        <v>117</v>
      </c>
      <c r="C23" s="122">
        <v>9</v>
      </c>
      <c r="D23" s="122">
        <v>3</v>
      </c>
      <c r="E23" s="123"/>
      <c r="F23" s="123">
        <v>714</v>
      </c>
      <c r="G23" s="123">
        <f>70+102</f>
        <v>172</v>
      </c>
      <c r="H23" s="118">
        <v>138</v>
      </c>
      <c r="I23" s="118">
        <v>404</v>
      </c>
      <c r="J23" s="118"/>
      <c r="K23" s="123">
        <f t="shared" si="1"/>
        <v>172</v>
      </c>
      <c r="L23" s="124">
        <f t="shared" si="2"/>
        <v>69</v>
      </c>
      <c r="M23" s="124">
        <f t="shared" si="2"/>
        <v>202</v>
      </c>
      <c r="N23" s="124">
        <f t="shared" si="2"/>
        <v>0</v>
      </c>
      <c r="O23" s="124">
        <f t="shared" si="3"/>
        <v>443</v>
      </c>
      <c r="P23" s="124">
        <f t="shared" si="4"/>
        <v>69</v>
      </c>
      <c r="Q23" s="124">
        <f t="shared" si="4"/>
        <v>202</v>
      </c>
      <c r="R23" s="124">
        <f t="shared" si="4"/>
        <v>0</v>
      </c>
      <c r="S23" s="118">
        <f t="shared" si="5"/>
        <v>271</v>
      </c>
      <c r="T23" s="123">
        <v>480</v>
      </c>
      <c r="U23" s="123"/>
      <c r="V23" s="118">
        <v>480</v>
      </c>
      <c r="W23" s="123">
        <v>6440</v>
      </c>
      <c r="X23" s="123"/>
      <c r="Y23" s="123">
        <v>6440</v>
      </c>
      <c r="Z23" s="118">
        <v>787</v>
      </c>
      <c r="AA23" s="123"/>
      <c r="AB23" s="125">
        <v>8421</v>
      </c>
      <c r="AC23" s="117"/>
      <c r="AD23" s="118">
        <f t="shared" si="0"/>
        <v>443</v>
      </c>
      <c r="AE23" s="118"/>
      <c r="AF23" s="118" t="e">
        <f>#REF!-AE23</f>
        <v>#REF!</v>
      </c>
      <c r="AG23" s="118">
        <v>30</v>
      </c>
      <c r="AH23" s="118" t="e">
        <f>#REF!-AG23</f>
        <v>#REF!</v>
      </c>
      <c r="AI23" s="118"/>
      <c r="AJ23" s="119"/>
      <c r="AK23" s="120" t="e">
        <f>#REF!+S23+W23+T23</f>
        <v>#REF!</v>
      </c>
    </row>
    <row r="24" spans="1:83" s="109" customFormat="1" ht="13.5" x14ac:dyDescent="0.25">
      <c r="A24" s="121">
        <v>10</v>
      </c>
      <c r="B24" s="122" t="s">
        <v>117</v>
      </c>
      <c r="C24" s="122">
        <v>11</v>
      </c>
      <c r="D24" s="122">
        <v>1</v>
      </c>
      <c r="E24" s="123"/>
      <c r="F24" s="123">
        <v>473</v>
      </c>
      <c r="G24" s="123">
        <f>70</f>
        <v>70</v>
      </c>
      <c r="H24" s="118">
        <v>96</v>
      </c>
      <c r="I24" s="118">
        <v>307</v>
      </c>
      <c r="J24" s="118"/>
      <c r="K24" s="123">
        <f t="shared" si="1"/>
        <v>70</v>
      </c>
      <c r="L24" s="124">
        <f t="shared" si="2"/>
        <v>48</v>
      </c>
      <c r="M24" s="124">
        <f t="shared" si="2"/>
        <v>153.5</v>
      </c>
      <c r="N24" s="124">
        <f t="shared" si="2"/>
        <v>0</v>
      </c>
      <c r="O24" s="124">
        <f t="shared" si="3"/>
        <v>271.5</v>
      </c>
      <c r="P24" s="124">
        <f t="shared" si="4"/>
        <v>48</v>
      </c>
      <c r="Q24" s="124">
        <f t="shared" si="4"/>
        <v>153.5</v>
      </c>
      <c r="R24" s="124">
        <f t="shared" si="4"/>
        <v>0</v>
      </c>
      <c r="S24" s="118">
        <f t="shared" si="5"/>
        <v>201.5</v>
      </c>
      <c r="T24" s="123">
        <f>384+56</f>
        <v>440</v>
      </c>
      <c r="U24" s="123"/>
      <c r="V24" s="118">
        <v>440</v>
      </c>
      <c r="W24" s="123">
        <v>4044</v>
      </c>
      <c r="X24" s="123"/>
      <c r="Y24" s="123">
        <v>4044</v>
      </c>
      <c r="Z24" s="118">
        <v>0</v>
      </c>
      <c r="AA24" s="123"/>
      <c r="AB24" s="125">
        <v>4957</v>
      </c>
      <c r="AC24" s="117"/>
      <c r="AD24" s="118">
        <f t="shared" si="0"/>
        <v>271.5</v>
      </c>
      <c r="AE24" s="118"/>
      <c r="AF24" s="118" t="e">
        <f>#REF!-AE24</f>
        <v>#REF!</v>
      </c>
      <c r="AG24" s="118"/>
      <c r="AH24" s="118" t="e">
        <f>#REF!-AG24</f>
        <v>#REF!</v>
      </c>
      <c r="AI24" s="118"/>
      <c r="AJ24" s="119"/>
      <c r="AK24" s="120" t="e">
        <f>#REF!+S24+W24+T24</f>
        <v>#REF!</v>
      </c>
    </row>
    <row r="25" spans="1:83" s="109" customFormat="1" ht="13.5" x14ac:dyDescent="0.25">
      <c r="A25" s="121">
        <v>11</v>
      </c>
      <c r="B25" s="122" t="s">
        <v>117</v>
      </c>
      <c r="C25" s="122">
        <v>11</v>
      </c>
      <c r="D25" s="122">
        <v>2</v>
      </c>
      <c r="E25" s="123">
        <f>142.8</f>
        <v>142.80000000000001</v>
      </c>
      <c r="F25" s="123">
        <f>862+E25</f>
        <v>1004.8</v>
      </c>
      <c r="G25" s="123">
        <v>279.8</v>
      </c>
      <c r="H25" s="118">
        <v>85</v>
      </c>
      <c r="I25" s="118">
        <v>640</v>
      </c>
      <c r="J25" s="118"/>
      <c r="K25" s="123">
        <f t="shared" si="1"/>
        <v>279.8</v>
      </c>
      <c r="L25" s="124">
        <f t="shared" si="2"/>
        <v>42.5</v>
      </c>
      <c r="M25" s="124">
        <f t="shared" si="2"/>
        <v>320</v>
      </c>
      <c r="N25" s="124">
        <f t="shared" si="2"/>
        <v>0</v>
      </c>
      <c r="O25" s="124">
        <f t="shared" si="3"/>
        <v>642.29999999999995</v>
      </c>
      <c r="P25" s="124">
        <f t="shared" si="4"/>
        <v>42.5</v>
      </c>
      <c r="Q25" s="124">
        <f t="shared" si="4"/>
        <v>320</v>
      </c>
      <c r="R25" s="124">
        <f t="shared" si="4"/>
        <v>0</v>
      </c>
      <c r="S25" s="118">
        <f t="shared" si="5"/>
        <v>362.5</v>
      </c>
      <c r="T25" s="123">
        <v>199</v>
      </c>
      <c r="U25" s="123"/>
      <c r="V25" s="118">
        <v>199</v>
      </c>
      <c r="W25" s="123">
        <v>1521</v>
      </c>
      <c r="X25" s="123"/>
      <c r="Y25" s="123">
        <f>1521-E25</f>
        <v>1378.2</v>
      </c>
      <c r="Z25" s="118">
        <v>0</v>
      </c>
      <c r="AA25" s="123"/>
      <c r="AB25" s="125">
        <v>2582</v>
      </c>
      <c r="AC25" s="117"/>
      <c r="AD25" s="118">
        <f t="shared" si="0"/>
        <v>642.29999999999995</v>
      </c>
      <c r="AE25" s="118"/>
      <c r="AF25" s="118" t="e">
        <f>#REF!-AE25</f>
        <v>#REF!</v>
      </c>
      <c r="AG25" s="118"/>
      <c r="AH25" s="118" t="e">
        <f>#REF!-AG25</f>
        <v>#REF!</v>
      </c>
      <c r="AI25" s="118"/>
      <c r="AJ25" s="119"/>
      <c r="AK25" s="120" t="e">
        <f>#REF!+S25+W25+T25</f>
        <v>#REF!</v>
      </c>
    </row>
    <row r="26" spans="1:83" s="109" customFormat="1" ht="13.5" x14ac:dyDescent="0.25">
      <c r="A26" s="121">
        <v>12</v>
      </c>
      <c r="B26" s="122" t="s">
        <v>117</v>
      </c>
      <c r="C26" s="122">
        <v>13</v>
      </c>
      <c r="D26" s="122">
        <v>1</v>
      </c>
      <c r="E26" s="123">
        <f>62.5+58.5</f>
        <v>121</v>
      </c>
      <c r="F26" s="123">
        <f>3482+E26</f>
        <v>3603</v>
      </c>
      <c r="G26" s="123">
        <f>112+E26</f>
        <v>233</v>
      </c>
      <c r="H26" s="118">
        <f>241+155</f>
        <v>396</v>
      </c>
      <c r="I26" s="118">
        <f>861+1180+100</f>
        <v>2141</v>
      </c>
      <c r="J26" s="118">
        <f>319+614-100</f>
        <v>833</v>
      </c>
      <c r="K26" s="123">
        <f t="shared" si="1"/>
        <v>233</v>
      </c>
      <c r="L26" s="124">
        <f t="shared" si="2"/>
        <v>198</v>
      </c>
      <c r="M26" s="124">
        <f t="shared" si="2"/>
        <v>1070.5</v>
      </c>
      <c r="N26" s="124">
        <f t="shared" si="2"/>
        <v>416.5</v>
      </c>
      <c r="O26" s="124">
        <f t="shared" si="3"/>
        <v>1918</v>
      </c>
      <c r="P26" s="124">
        <f t="shared" si="4"/>
        <v>198</v>
      </c>
      <c r="Q26" s="124">
        <f t="shared" si="4"/>
        <v>1070.5</v>
      </c>
      <c r="R26" s="124">
        <f t="shared" si="4"/>
        <v>416.5</v>
      </c>
      <c r="S26" s="118">
        <f t="shared" si="5"/>
        <v>1685</v>
      </c>
      <c r="T26" s="123">
        <v>73</v>
      </c>
      <c r="U26" s="123"/>
      <c r="V26" s="118">
        <v>73</v>
      </c>
      <c r="W26" s="123">
        <f>1598+47</f>
        <v>1645</v>
      </c>
      <c r="X26" s="123"/>
      <c r="Y26" s="123">
        <f>4174-E26</f>
        <v>4053</v>
      </c>
      <c r="Z26" s="118">
        <v>0</v>
      </c>
      <c r="AA26" s="123">
        <v>6.5</v>
      </c>
      <c r="AB26" s="125">
        <v>7729</v>
      </c>
      <c r="AC26" s="117"/>
      <c r="AD26" s="118">
        <f t="shared" si="0"/>
        <v>1918</v>
      </c>
      <c r="AE26" s="118"/>
      <c r="AF26" s="118" t="e">
        <f>#REF!-AE26</f>
        <v>#REF!</v>
      </c>
      <c r="AG26" s="118"/>
      <c r="AH26" s="118" t="e">
        <f>#REF!-AG26</f>
        <v>#REF!</v>
      </c>
      <c r="AI26" s="118">
        <v>7</v>
      </c>
      <c r="AJ26" s="119"/>
      <c r="AK26" s="120" t="e">
        <f>#REF!+S26+W26+T26</f>
        <v>#REF!</v>
      </c>
    </row>
    <row r="27" spans="1:83" s="109" customFormat="1" ht="13.5" x14ac:dyDescent="0.25">
      <c r="A27" s="121">
        <v>13</v>
      </c>
      <c r="B27" s="122" t="s">
        <v>118</v>
      </c>
      <c r="C27" s="122">
        <v>34</v>
      </c>
      <c r="D27" s="122">
        <v>1</v>
      </c>
      <c r="E27" s="123"/>
      <c r="F27" s="123">
        <f>1028+E27</f>
        <v>1028</v>
      </c>
      <c r="G27" s="123">
        <f>119+E27</f>
        <v>119</v>
      </c>
      <c r="H27" s="118">
        <v>118</v>
      </c>
      <c r="I27" s="118">
        <v>791</v>
      </c>
      <c r="J27" s="118"/>
      <c r="K27" s="123">
        <f t="shared" si="1"/>
        <v>119</v>
      </c>
      <c r="L27" s="124">
        <f t="shared" si="2"/>
        <v>59</v>
      </c>
      <c r="M27" s="124">
        <f t="shared" si="2"/>
        <v>395.5</v>
      </c>
      <c r="N27" s="124">
        <f t="shared" si="2"/>
        <v>0</v>
      </c>
      <c r="O27" s="124">
        <f t="shared" si="3"/>
        <v>573.5</v>
      </c>
      <c r="P27" s="124">
        <f t="shared" si="4"/>
        <v>59</v>
      </c>
      <c r="Q27" s="124">
        <f t="shared" si="4"/>
        <v>395.5</v>
      </c>
      <c r="R27" s="124">
        <f t="shared" si="4"/>
        <v>0</v>
      </c>
      <c r="S27" s="118">
        <f t="shared" si="5"/>
        <v>454.5</v>
      </c>
      <c r="T27" s="123">
        <f>297</f>
        <v>297</v>
      </c>
      <c r="U27" s="123"/>
      <c r="V27" s="118">
        <v>297</v>
      </c>
      <c r="W27" s="123">
        <v>8316</v>
      </c>
      <c r="X27" s="123"/>
      <c r="Y27" s="123">
        <f>8316-E27</f>
        <v>8316</v>
      </c>
      <c r="Z27" s="118">
        <v>0</v>
      </c>
      <c r="AA27" s="123"/>
      <c r="AB27" s="125">
        <v>9641</v>
      </c>
      <c r="AC27" s="117"/>
      <c r="AD27" s="118">
        <f t="shared" si="0"/>
        <v>573.5</v>
      </c>
      <c r="AE27" s="118"/>
      <c r="AF27" s="118" t="e">
        <f>#REF!-AE27</f>
        <v>#REF!</v>
      </c>
      <c r="AG27" s="118"/>
      <c r="AH27" s="118" t="e">
        <f>#REF!-AG27</f>
        <v>#REF!</v>
      </c>
      <c r="AI27" s="118"/>
      <c r="AJ27" s="119"/>
      <c r="AK27" s="120" t="e">
        <f>#REF!+S27+W27+T27</f>
        <v>#REF!</v>
      </c>
    </row>
    <row r="28" spans="1:83" s="109" customFormat="1" ht="13.5" x14ac:dyDescent="0.25">
      <c r="A28" s="121">
        <v>14</v>
      </c>
      <c r="B28" s="122" t="s">
        <v>119</v>
      </c>
      <c r="C28" s="122">
        <v>34</v>
      </c>
      <c r="D28" s="122">
        <v>2</v>
      </c>
      <c r="E28" s="123">
        <f>326</f>
        <v>326</v>
      </c>
      <c r="F28" s="123">
        <f>1611+E28</f>
        <v>1937</v>
      </c>
      <c r="G28" s="123">
        <f>145+E28</f>
        <v>471</v>
      </c>
      <c r="H28" s="118">
        <v>65</v>
      </c>
      <c r="I28" s="118">
        <v>1401</v>
      </c>
      <c r="J28" s="118"/>
      <c r="K28" s="123">
        <f t="shared" si="1"/>
        <v>471</v>
      </c>
      <c r="L28" s="124">
        <f t="shared" si="2"/>
        <v>32.5</v>
      </c>
      <c r="M28" s="124">
        <f t="shared" si="2"/>
        <v>700.5</v>
      </c>
      <c r="N28" s="124">
        <f t="shared" si="2"/>
        <v>0</v>
      </c>
      <c r="O28" s="124">
        <f t="shared" si="3"/>
        <v>1204</v>
      </c>
      <c r="P28" s="124">
        <f t="shared" si="4"/>
        <v>32.5</v>
      </c>
      <c r="Q28" s="124">
        <f t="shared" si="4"/>
        <v>700.5</v>
      </c>
      <c r="R28" s="124">
        <f t="shared" si="4"/>
        <v>0</v>
      </c>
      <c r="S28" s="118">
        <f t="shared" si="5"/>
        <v>733</v>
      </c>
      <c r="T28" s="123">
        <f>11+696</f>
        <v>707</v>
      </c>
      <c r="U28" s="123"/>
      <c r="V28" s="118">
        <v>707</v>
      </c>
      <c r="W28" s="123">
        <v>6637</v>
      </c>
      <c r="X28" s="123"/>
      <c r="Y28" s="123">
        <f>6637-E28</f>
        <v>6311</v>
      </c>
      <c r="Z28" s="118">
        <v>49</v>
      </c>
      <c r="AA28" s="123"/>
      <c r="AB28" s="125">
        <v>9004</v>
      </c>
      <c r="AC28" s="117"/>
      <c r="AD28" s="118">
        <f t="shared" si="0"/>
        <v>1204</v>
      </c>
      <c r="AE28" s="118"/>
      <c r="AF28" s="118" t="e">
        <f>#REF!-AE28</f>
        <v>#REF!</v>
      </c>
      <c r="AG28" s="118">
        <v>114</v>
      </c>
      <c r="AH28" s="118" t="e">
        <f>#REF!-AG28</f>
        <v>#REF!</v>
      </c>
      <c r="AI28" s="118"/>
      <c r="AJ28" s="119"/>
      <c r="AK28" s="120" t="e">
        <f>#REF!+S28+W28+T28</f>
        <v>#REF!</v>
      </c>
    </row>
    <row r="29" spans="1:83" s="109" customFormat="1" ht="13.5" x14ac:dyDescent="0.25">
      <c r="A29" s="121">
        <v>15</v>
      </c>
      <c r="B29" s="122" t="s">
        <v>119</v>
      </c>
      <c r="C29" s="122">
        <v>36</v>
      </c>
      <c r="D29" s="122"/>
      <c r="E29" s="123"/>
      <c r="F29" s="123">
        <v>1711</v>
      </c>
      <c r="G29" s="123">
        <f>130+462</f>
        <v>592</v>
      </c>
      <c r="H29" s="118">
        <v>450</v>
      </c>
      <c r="I29" s="118">
        <f>1131-462</f>
        <v>669</v>
      </c>
      <c r="J29" s="118"/>
      <c r="K29" s="123">
        <f t="shared" si="1"/>
        <v>592</v>
      </c>
      <c r="L29" s="124">
        <f t="shared" si="2"/>
        <v>225</v>
      </c>
      <c r="M29" s="124">
        <f t="shared" si="2"/>
        <v>334.5</v>
      </c>
      <c r="N29" s="124">
        <f t="shared" si="2"/>
        <v>0</v>
      </c>
      <c r="O29" s="124">
        <f t="shared" si="3"/>
        <v>1151.5</v>
      </c>
      <c r="P29" s="124">
        <f t="shared" si="4"/>
        <v>225</v>
      </c>
      <c r="Q29" s="124">
        <f t="shared" si="4"/>
        <v>334.5</v>
      </c>
      <c r="R29" s="124">
        <f t="shared" si="4"/>
        <v>0</v>
      </c>
      <c r="S29" s="118">
        <f t="shared" si="5"/>
        <v>559.5</v>
      </c>
      <c r="T29" s="126">
        <f>52+269+221</f>
        <v>542</v>
      </c>
      <c r="U29" s="123"/>
      <c r="V29" s="118">
        <v>542</v>
      </c>
      <c r="W29" s="123">
        <v>6425</v>
      </c>
      <c r="X29" s="123"/>
      <c r="Y29" s="123">
        <v>6425</v>
      </c>
      <c r="Z29" s="118">
        <v>0</v>
      </c>
      <c r="AA29" s="123">
        <v>19</v>
      </c>
      <c r="AB29" s="125">
        <v>8678</v>
      </c>
      <c r="AC29" s="117">
        <v>6</v>
      </c>
      <c r="AD29" s="118">
        <f t="shared" si="0"/>
        <v>1145.5</v>
      </c>
      <c r="AE29" s="118"/>
      <c r="AF29" s="118" t="e">
        <f>#REF!-AE29</f>
        <v>#REF!</v>
      </c>
      <c r="AG29" s="118"/>
      <c r="AH29" s="118" t="e">
        <f>#REF!-AG29</f>
        <v>#REF!</v>
      </c>
      <c r="AI29" s="118">
        <v>19</v>
      </c>
      <c r="AJ29" s="119"/>
      <c r="AK29" s="120" t="e">
        <f>#REF!+S29+W29+T29</f>
        <v>#REF!</v>
      </c>
    </row>
    <row r="30" spans="1:83" s="109" customFormat="1" ht="13.5" x14ac:dyDescent="0.25">
      <c r="A30" s="121">
        <v>16</v>
      </c>
      <c r="B30" s="122" t="s">
        <v>119</v>
      </c>
      <c r="C30" s="122">
        <v>38</v>
      </c>
      <c r="D30" s="122"/>
      <c r="E30" s="123"/>
      <c r="F30" s="123">
        <v>1043</v>
      </c>
      <c r="G30" s="123">
        <f>130+445</f>
        <v>575</v>
      </c>
      <c r="H30" s="118">
        <v>269</v>
      </c>
      <c r="I30" s="118">
        <f>644-445</f>
        <v>199</v>
      </c>
      <c r="J30" s="118"/>
      <c r="K30" s="123">
        <f t="shared" si="1"/>
        <v>575</v>
      </c>
      <c r="L30" s="124">
        <f t="shared" si="2"/>
        <v>134.5</v>
      </c>
      <c r="M30" s="124">
        <f t="shared" si="2"/>
        <v>99.5</v>
      </c>
      <c r="N30" s="124">
        <f t="shared" si="2"/>
        <v>0</v>
      </c>
      <c r="O30" s="124">
        <f t="shared" si="3"/>
        <v>809</v>
      </c>
      <c r="P30" s="124">
        <f t="shared" si="4"/>
        <v>134.5</v>
      </c>
      <c r="Q30" s="124">
        <f t="shared" si="4"/>
        <v>99.5</v>
      </c>
      <c r="R30" s="124">
        <f t="shared" si="4"/>
        <v>0</v>
      </c>
      <c r="S30" s="118">
        <f t="shared" si="5"/>
        <v>234</v>
      </c>
      <c r="T30" s="123">
        <v>105</v>
      </c>
      <c r="U30" s="123"/>
      <c r="V30" s="118">
        <v>105</v>
      </c>
      <c r="W30" s="123">
        <v>6365</v>
      </c>
      <c r="X30" s="123"/>
      <c r="Y30" s="123">
        <v>6365</v>
      </c>
      <c r="Z30" s="118">
        <v>154</v>
      </c>
      <c r="AA30" s="123">
        <v>16.5</v>
      </c>
      <c r="AB30" s="125">
        <v>7667</v>
      </c>
      <c r="AC30" s="117"/>
      <c r="AD30" s="118">
        <f t="shared" si="0"/>
        <v>809</v>
      </c>
      <c r="AE30" s="118"/>
      <c r="AF30" s="118" t="e">
        <f>#REF!-AE30</f>
        <v>#REF!</v>
      </c>
      <c r="AG30" s="118"/>
      <c r="AH30" s="118" t="e">
        <f>#REF!-AG30</f>
        <v>#REF!</v>
      </c>
      <c r="AI30" s="118">
        <v>17</v>
      </c>
      <c r="AJ30" s="119"/>
      <c r="AK30" s="120" t="e">
        <f>#REF!+S30+W30+T30</f>
        <v>#REF!</v>
      </c>
    </row>
    <row r="31" spans="1:83" s="109" customFormat="1" ht="13.5" x14ac:dyDescent="0.25">
      <c r="A31" s="121">
        <v>17</v>
      </c>
      <c r="B31" s="122" t="s">
        <v>119</v>
      </c>
      <c r="C31" s="122">
        <v>40</v>
      </c>
      <c r="D31" s="122">
        <v>1</v>
      </c>
      <c r="E31" s="123"/>
      <c r="F31" s="123">
        <v>886</v>
      </c>
      <c r="G31" s="123">
        <f>128</f>
        <v>128</v>
      </c>
      <c r="H31" s="118">
        <v>49</v>
      </c>
      <c r="I31" s="118">
        <v>709</v>
      </c>
      <c r="J31" s="118"/>
      <c r="K31" s="123">
        <f t="shared" si="1"/>
        <v>128</v>
      </c>
      <c r="L31" s="124">
        <f t="shared" si="2"/>
        <v>24.5</v>
      </c>
      <c r="M31" s="124">
        <f t="shared" si="2"/>
        <v>354.5</v>
      </c>
      <c r="N31" s="124">
        <f t="shared" si="2"/>
        <v>0</v>
      </c>
      <c r="O31" s="124">
        <f t="shared" si="3"/>
        <v>507</v>
      </c>
      <c r="P31" s="124">
        <f t="shared" si="4"/>
        <v>24.5</v>
      </c>
      <c r="Q31" s="124">
        <f t="shared" si="4"/>
        <v>354.5</v>
      </c>
      <c r="R31" s="124">
        <f t="shared" si="4"/>
        <v>0</v>
      </c>
      <c r="S31" s="118">
        <f t="shared" si="5"/>
        <v>379</v>
      </c>
      <c r="T31" s="123">
        <v>94</v>
      </c>
      <c r="U31" s="123"/>
      <c r="V31" s="118">
        <v>94</v>
      </c>
      <c r="W31" s="123">
        <v>5117</v>
      </c>
      <c r="X31" s="123"/>
      <c r="Y31" s="123">
        <v>5117</v>
      </c>
      <c r="Z31" s="118">
        <v>0</v>
      </c>
      <c r="AA31" s="123"/>
      <c r="AB31" s="125">
        <v>6097</v>
      </c>
      <c r="AC31" s="117"/>
      <c r="AD31" s="118">
        <f t="shared" si="0"/>
        <v>507</v>
      </c>
      <c r="AE31" s="118"/>
      <c r="AF31" s="118" t="e">
        <f>#REF!-AE31</f>
        <v>#REF!</v>
      </c>
      <c r="AG31" s="118"/>
      <c r="AH31" s="118" t="e">
        <f>#REF!-AG31</f>
        <v>#REF!</v>
      </c>
      <c r="AI31" s="118"/>
      <c r="AJ31" s="119"/>
      <c r="AK31" s="120" t="e">
        <f>#REF!+S31+W31+T31</f>
        <v>#REF!</v>
      </c>
    </row>
    <row r="32" spans="1:83" s="109" customFormat="1" ht="13.5" x14ac:dyDescent="0.25">
      <c r="A32" s="121">
        <v>18</v>
      </c>
      <c r="B32" s="122" t="s">
        <v>119</v>
      </c>
      <c r="C32" s="122">
        <v>40</v>
      </c>
      <c r="D32" s="122">
        <v>2</v>
      </c>
      <c r="E32" s="123"/>
      <c r="F32" s="123">
        <v>991</v>
      </c>
      <c r="G32" s="123">
        <f>120</f>
        <v>120</v>
      </c>
      <c r="H32" s="118">
        <v>156</v>
      </c>
      <c r="I32" s="118">
        <v>715</v>
      </c>
      <c r="J32" s="118"/>
      <c r="K32" s="123">
        <f t="shared" si="1"/>
        <v>120</v>
      </c>
      <c r="L32" s="124">
        <f t="shared" si="2"/>
        <v>78</v>
      </c>
      <c r="M32" s="124">
        <f t="shared" si="2"/>
        <v>357.5</v>
      </c>
      <c r="N32" s="124">
        <f t="shared" si="2"/>
        <v>0</v>
      </c>
      <c r="O32" s="124">
        <f t="shared" si="3"/>
        <v>555.5</v>
      </c>
      <c r="P32" s="124">
        <f t="shared" si="4"/>
        <v>78</v>
      </c>
      <c r="Q32" s="124">
        <f t="shared" si="4"/>
        <v>357.5</v>
      </c>
      <c r="R32" s="124">
        <f t="shared" si="4"/>
        <v>0</v>
      </c>
      <c r="S32" s="118">
        <f t="shared" si="5"/>
        <v>435.5</v>
      </c>
      <c r="T32" s="123">
        <f>60+196</f>
        <v>256</v>
      </c>
      <c r="U32" s="123"/>
      <c r="V32" s="118">
        <v>256</v>
      </c>
      <c r="W32" s="123">
        <v>3391</v>
      </c>
      <c r="X32" s="123"/>
      <c r="Y32" s="123">
        <v>3391</v>
      </c>
      <c r="Z32" s="118">
        <v>84</v>
      </c>
      <c r="AA32" s="123"/>
      <c r="AB32" s="125">
        <v>4722</v>
      </c>
      <c r="AC32" s="117"/>
      <c r="AD32" s="118">
        <f t="shared" si="0"/>
        <v>555.5</v>
      </c>
      <c r="AE32" s="118"/>
      <c r="AF32" s="118" t="e">
        <f>#REF!-AE32</f>
        <v>#REF!</v>
      </c>
      <c r="AG32" s="118"/>
      <c r="AH32" s="118" t="e">
        <f>#REF!-AG32</f>
        <v>#REF!</v>
      </c>
      <c r="AI32" s="118"/>
      <c r="AJ32" s="119"/>
      <c r="AK32" s="120" t="e">
        <f>#REF!+S32+W32+T32</f>
        <v>#REF!</v>
      </c>
    </row>
    <row r="33" spans="1:37" s="109" customFormat="1" ht="13.5" x14ac:dyDescent="0.25">
      <c r="A33" s="121">
        <v>19</v>
      </c>
      <c r="B33" s="122" t="s">
        <v>119</v>
      </c>
      <c r="C33" s="122">
        <v>42</v>
      </c>
      <c r="D33" s="122">
        <v>1</v>
      </c>
      <c r="E33" s="123"/>
      <c r="F33" s="123">
        <v>1166</v>
      </c>
      <c r="G33" s="123">
        <f>128+377</f>
        <v>505</v>
      </c>
      <c r="H33" s="118">
        <v>257</v>
      </c>
      <c r="I33" s="118">
        <f>781-377</f>
        <v>404</v>
      </c>
      <c r="J33" s="118"/>
      <c r="K33" s="123">
        <f t="shared" si="1"/>
        <v>505</v>
      </c>
      <c r="L33" s="124">
        <f t="shared" si="2"/>
        <v>128.5</v>
      </c>
      <c r="M33" s="124">
        <f t="shared" si="2"/>
        <v>202</v>
      </c>
      <c r="N33" s="124">
        <f t="shared" si="2"/>
        <v>0</v>
      </c>
      <c r="O33" s="124">
        <f t="shared" si="3"/>
        <v>835.5</v>
      </c>
      <c r="P33" s="124">
        <f t="shared" si="4"/>
        <v>128.5</v>
      </c>
      <c r="Q33" s="124">
        <f t="shared" si="4"/>
        <v>202</v>
      </c>
      <c r="R33" s="124">
        <f t="shared" si="4"/>
        <v>0</v>
      </c>
      <c r="S33" s="118">
        <f t="shared" si="5"/>
        <v>330.5</v>
      </c>
      <c r="T33" s="123">
        <f>84</f>
        <v>84</v>
      </c>
      <c r="U33" s="123"/>
      <c r="V33" s="118">
        <v>84</v>
      </c>
      <c r="W33" s="123">
        <v>5610</v>
      </c>
      <c r="X33" s="123"/>
      <c r="Y33" s="123">
        <v>5610</v>
      </c>
      <c r="Z33" s="118">
        <v>0</v>
      </c>
      <c r="AA33" s="123">
        <v>19</v>
      </c>
      <c r="AB33" s="125">
        <v>6860</v>
      </c>
      <c r="AC33" s="117">
        <v>9</v>
      </c>
      <c r="AD33" s="118">
        <f t="shared" si="0"/>
        <v>826.5</v>
      </c>
      <c r="AE33" s="118"/>
      <c r="AF33" s="118" t="e">
        <f>#REF!-AE33</f>
        <v>#REF!</v>
      </c>
      <c r="AG33" s="118">
        <v>9</v>
      </c>
      <c r="AH33" s="118" t="e">
        <f>#REF!-AG33</f>
        <v>#REF!</v>
      </c>
      <c r="AI33" s="118">
        <v>19</v>
      </c>
      <c r="AJ33" s="119"/>
      <c r="AK33" s="120" t="e">
        <f>#REF!+S33+W33+T33</f>
        <v>#REF!</v>
      </c>
    </row>
    <row r="34" spans="1:37" s="109" customFormat="1" ht="13.5" x14ac:dyDescent="0.25">
      <c r="A34" s="121">
        <v>20</v>
      </c>
      <c r="B34" s="122" t="s">
        <v>119</v>
      </c>
      <c r="C34" s="122">
        <v>42</v>
      </c>
      <c r="D34" s="122">
        <v>2</v>
      </c>
      <c r="E34" s="123"/>
      <c r="F34" s="123">
        <v>1118</v>
      </c>
      <c r="G34" s="123">
        <f>119</f>
        <v>119</v>
      </c>
      <c r="H34" s="118">
        <v>238</v>
      </c>
      <c r="I34" s="118">
        <v>761</v>
      </c>
      <c r="J34" s="118"/>
      <c r="K34" s="123">
        <f t="shared" si="1"/>
        <v>119</v>
      </c>
      <c r="L34" s="124">
        <f t="shared" si="2"/>
        <v>119</v>
      </c>
      <c r="M34" s="124">
        <f t="shared" si="2"/>
        <v>380.5</v>
      </c>
      <c r="N34" s="124">
        <f t="shared" si="2"/>
        <v>0</v>
      </c>
      <c r="O34" s="124">
        <f t="shared" si="3"/>
        <v>618.5</v>
      </c>
      <c r="P34" s="124">
        <f t="shared" si="4"/>
        <v>119</v>
      </c>
      <c r="Q34" s="124">
        <f t="shared" si="4"/>
        <v>380.5</v>
      </c>
      <c r="R34" s="124">
        <f t="shared" si="4"/>
        <v>0</v>
      </c>
      <c r="S34" s="118">
        <f t="shared" si="5"/>
        <v>499.5</v>
      </c>
      <c r="T34" s="123">
        <v>238</v>
      </c>
      <c r="U34" s="123"/>
      <c r="V34" s="118">
        <v>238</v>
      </c>
      <c r="W34" s="123">
        <v>3111</v>
      </c>
      <c r="X34" s="123"/>
      <c r="Y34" s="123">
        <v>3111</v>
      </c>
      <c r="Z34" s="118">
        <v>137</v>
      </c>
      <c r="AA34" s="123"/>
      <c r="AB34" s="125">
        <v>4604</v>
      </c>
      <c r="AC34" s="117"/>
      <c r="AD34" s="118">
        <f t="shared" si="0"/>
        <v>618.5</v>
      </c>
      <c r="AE34" s="118"/>
      <c r="AF34" s="118" t="e">
        <f>#REF!-AE34</f>
        <v>#REF!</v>
      </c>
      <c r="AG34" s="118"/>
      <c r="AH34" s="118" t="e">
        <f>#REF!-AG34</f>
        <v>#REF!</v>
      </c>
      <c r="AI34" s="118"/>
      <c r="AJ34" s="119"/>
      <c r="AK34" s="120" t="e">
        <f>#REF!+S34+W34+T34</f>
        <v>#REF!</v>
      </c>
    </row>
    <row r="35" spans="1:37" s="110" customFormat="1" ht="13.5" x14ac:dyDescent="0.25">
      <c r="A35" s="121">
        <v>21</v>
      </c>
      <c r="B35" s="122" t="s">
        <v>119</v>
      </c>
      <c r="C35" s="122">
        <v>44</v>
      </c>
      <c r="D35" s="122">
        <v>1</v>
      </c>
      <c r="E35" s="123"/>
      <c r="F35" s="123">
        <v>536</v>
      </c>
      <c r="G35" s="123">
        <f>99+80</f>
        <v>179</v>
      </c>
      <c r="H35" s="118">
        <v>190</v>
      </c>
      <c r="I35" s="118">
        <f>247-80</f>
        <v>167</v>
      </c>
      <c r="J35" s="118"/>
      <c r="K35" s="123">
        <f t="shared" si="1"/>
        <v>179</v>
      </c>
      <c r="L35" s="124">
        <f t="shared" si="2"/>
        <v>95</v>
      </c>
      <c r="M35" s="124">
        <f t="shared" si="2"/>
        <v>83.5</v>
      </c>
      <c r="N35" s="124">
        <f t="shared" si="2"/>
        <v>0</v>
      </c>
      <c r="O35" s="124">
        <f t="shared" si="3"/>
        <v>357.5</v>
      </c>
      <c r="P35" s="124">
        <f t="shared" si="4"/>
        <v>95</v>
      </c>
      <c r="Q35" s="124">
        <f t="shared" si="4"/>
        <v>83.5</v>
      </c>
      <c r="R35" s="124">
        <f t="shared" si="4"/>
        <v>0</v>
      </c>
      <c r="S35" s="118">
        <f t="shared" si="5"/>
        <v>178.5</v>
      </c>
      <c r="T35" s="123">
        <v>268</v>
      </c>
      <c r="U35" s="123"/>
      <c r="V35" s="118">
        <v>268</v>
      </c>
      <c r="W35" s="123">
        <v>2799</v>
      </c>
      <c r="X35" s="123"/>
      <c r="Y35" s="123">
        <v>2799</v>
      </c>
      <c r="Z35" s="118">
        <v>0</v>
      </c>
      <c r="AA35" s="123"/>
      <c r="AB35" s="125">
        <v>3603</v>
      </c>
      <c r="AC35" s="117"/>
      <c r="AD35" s="118">
        <f t="shared" si="0"/>
        <v>357.5</v>
      </c>
      <c r="AE35" s="118"/>
      <c r="AF35" s="118" t="e">
        <f>#REF!-AE35</f>
        <v>#REF!</v>
      </c>
      <c r="AG35" s="118"/>
      <c r="AH35" s="118" t="e">
        <f>#REF!-AG35</f>
        <v>#REF!</v>
      </c>
      <c r="AI35" s="118"/>
      <c r="AJ35" s="119"/>
      <c r="AK35" s="120" t="e">
        <f>#REF!+S35+W35+T35</f>
        <v>#REF!</v>
      </c>
    </row>
    <row r="36" spans="1:37" s="109" customFormat="1" ht="13.5" x14ac:dyDescent="0.25">
      <c r="A36" s="121">
        <v>22</v>
      </c>
      <c r="B36" s="122" t="s">
        <v>119</v>
      </c>
      <c r="C36" s="122">
        <v>44</v>
      </c>
      <c r="D36" s="122">
        <v>2</v>
      </c>
      <c r="E36" s="123"/>
      <c r="F36" s="123">
        <v>444</v>
      </c>
      <c r="G36" s="123">
        <f>92</f>
        <v>92</v>
      </c>
      <c r="H36" s="118">
        <v>171</v>
      </c>
      <c r="I36" s="118">
        <v>181</v>
      </c>
      <c r="J36" s="118"/>
      <c r="K36" s="123">
        <f t="shared" si="1"/>
        <v>92</v>
      </c>
      <c r="L36" s="124">
        <f t="shared" si="2"/>
        <v>85.5</v>
      </c>
      <c r="M36" s="124">
        <f t="shared" si="2"/>
        <v>90.5</v>
      </c>
      <c r="N36" s="124">
        <f t="shared" si="2"/>
        <v>0</v>
      </c>
      <c r="O36" s="124">
        <f t="shared" si="3"/>
        <v>268</v>
      </c>
      <c r="P36" s="124">
        <f t="shared" si="4"/>
        <v>85.5</v>
      </c>
      <c r="Q36" s="124">
        <f t="shared" si="4"/>
        <v>90.5</v>
      </c>
      <c r="R36" s="124">
        <f t="shared" si="4"/>
        <v>0</v>
      </c>
      <c r="S36" s="118">
        <f t="shared" si="5"/>
        <v>176</v>
      </c>
      <c r="T36" s="123">
        <v>181</v>
      </c>
      <c r="U36" s="123"/>
      <c r="V36" s="118">
        <v>181</v>
      </c>
      <c r="W36" s="123">
        <v>1443</v>
      </c>
      <c r="X36" s="123"/>
      <c r="Y36" s="123">
        <v>1443</v>
      </c>
      <c r="Z36" s="118">
        <v>0</v>
      </c>
      <c r="AA36" s="123"/>
      <c r="AB36" s="125">
        <v>2068</v>
      </c>
      <c r="AC36" s="117"/>
      <c r="AD36" s="118">
        <f t="shared" si="0"/>
        <v>268</v>
      </c>
      <c r="AE36" s="118"/>
      <c r="AF36" s="118" t="e">
        <f>#REF!-AE36</f>
        <v>#REF!</v>
      </c>
      <c r="AG36" s="118"/>
      <c r="AH36" s="118" t="e">
        <f>#REF!-AG36</f>
        <v>#REF!</v>
      </c>
      <c r="AI36" s="118"/>
      <c r="AJ36" s="119"/>
      <c r="AK36" s="120" t="e">
        <f>#REF!+S36+W36+T36</f>
        <v>#REF!</v>
      </c>
    </row>
    <row r="37" spans="1:37" s="109" customFormat="1" ht="13.5" x14ac:dyDescent="0.25">
      <c r="A37" s="121">
        <v>23</v>
      </c>
      <c r="B37" s="122" t="s">
        <v>119</v>
      </c>
      <c r="C37" s="122">
        <v>44</v>
      </c>
      <c r="D37" s="122">
        <v>3</v>
      </c>
      <c r="E37" s="123"/>
      <c r="F37" s="123">
        <v>400</v>
      </c>
      <c r="G37" s="123">
        <f>92+87</f>
        <v>179</v>
      </c>
      <c r="H37" s="118"/>
      <c r="I37" s="118">
        <f>308-87</f>
        <v>221</v>
      </c>
      <c r="J37" s="118"/>
      <c r="K37" s="123">
        <f t="shared" si="1"/>
        <v>179</v>
      </c>
      <c r="L37" s="124">
        <f t="shared" si="2"/>
        <v>0</v>
      </c>
      <c r="M37" s="124">
        <f t="shared" si="2"/>
        <v>110.5</v>
      </c>
      <c r="N37" s="124">
        <f t="shared" si="2"/>
        <v>0</v>
      </c>
      <c r="O37" s="124">
        <f t="shared" si="3"/>
        <v>289.5</v>
      </c>
      <c r="P37" s="124">
        <f t="shared" si="4"/>
        <v>0</v>
      </c>
      <c r="Q37" s="124">
        <f t="shared" si="4"/>
        <v>110.5</v>
      </c>
      <c r="R37" s="124">
        <f t="shared" si="4"/>
        <v>0</v>
      </c>
      <c r="S37" s="118">
        <f t="shared" si="5"/>
        <v>110.5</v>
      </c>
      <c r="T37" s="123">
        <v>232</v>
      </c>
      <c r="U37" s="123"/>
      <c r="V37" s="118">
        <v>232</v>
      </c>
      <c r="W37" s="123">
        <v>2045</v>
      </c>
      <c r="X37" s="123"/>
      <c r="Y37" s="123">
        <v>2045</v>
      </c>
      <c r="Z37" s="118">
        <v>118</v>
      </c>
      <c r="AA37" s="123"/>
      <c r="AB37" s="125">
        <v>2795</v>
      </c>
      <c r="AC37" s="117"/>
      <c r="AD37" s="118">
        <f t="shared" si="0"/>
        <v>289.5</v>
      </c>
      <c r="AE37" s="118"/>
      <c r="AF37" s="118" t="e">
        <f>#REF!-AE37</f>
        <v>#REF!</v>
      </c>
      <c r="AG37" s="118"/>
      <c r="AH37" s="118" t="e">
        <f>#REF!-AG37</f>
        <v>#REF!</v>
      </c>
      <c r="AI37" s="118"/>
      <c r="AJ37" s="119"/>
      <c r="AK37" s="120" t="e">
        <f>#REF!+S37+W37+T37</f>
        <v>#REF!</v>
      </c>
    </row>
    <row r="38" spans="1:37" s="109" customFormat="1" ht="13.5" x14ac:dyDescent="0.25">
      <c r="A38" s="121">
        <v>24</v>
      </c>
      <c r="B38" s="122" t="s">
        <v>119</v>
      </c>
      <c r="C38" s="122">
        <v>46</v>
      </c>
      <c r="D38" s="122">
        <v>1</v>
      </c>
      <c r="E38" s="123"/>
      <c r="F38" s="123">
        <v>908</v>
      </c>
      <c r="G38" s="123">
        <f>99</f>
        <v>99</v>
      </c>
      <c r="H38" s="118">
        <v>307</v>
      </c>
      <c r="I38" s="118">
        <v>502</v>
      </c>
      <c r="J38" s="118"/>
      <c r="K38" s="123">
        <f t="shared" si="1"/>
        <v>99</v>
      </c>
      <c r="L38" s="124">
        <f t="shared" si="2"/>
        <v>153.5</v>
      </c>
      <c r="M38" s="124">
        <f t="shared" si="2"/>
        <v>251</v>
      </c>
      <c r="N38" s="124">
        <f t="shared" si="2"/>
        <v>0</v>
      </c>
      <c r="O38" s="124">
        <f t="shared" si="3"/>
        <v>503.5</v>
      </c>
      <c r="P38" s="124">
        <f t="shared" si="4"/>
        <v>153.5</v>
      </c>
      <c r="Q38" s="124">
        <f t="shared" si="4"/>
        <v>251</v>
      </c>
      <c r="R38" s="124">
        <f t="shared" si="4"/>
        <v>0</v>
      </c>
      <c r="S38" s="118">
        <f t="shared" si="5"/>
        <v>404.5</v>
      </c>
      <c r="T38" s="123">
        <v>123</v>
      </c>
      <c r="U38" s="123"/>
      <c r="V38" s="118">
        <v>123</v>
      </c>
      <c r="W38" s="123">
        <v>2872</v>
      </c>
      <c r="X38" s="123"/>
      <c r="Y38" s="123">
        <v>2872</v>
      </c>
      <c r="Z38" s="118">
        <v>0</v>
      </c>
      <c r="AA38" s="123">
        <v>19</v>
      </c>
      <c r="AB38" s="125">
        <v>3903</v>
      </c>
      <c r="AC38" s="117"/>
      <c r="AD38" s="118">
        <f t="shared" si="0"/>
        <v>503.5</v>
      </c>
      <c r="AE38" s="118"/>
      <c r="AF38" s="118" t="e">
        <f>#REF!-AE38</f>
        <v>#REF!</v>
      </c>
      <c r="AG38" s="118"/>
      <c r="AH38" s="118" t="e">
        <f>#REF!-AG38</f>
        <v>#REF!</v>
      </c>
      <c r="AI38" s="118">
        <v>19</v>
      </c>
      <c r="AJ38" s="119"/>
      <c r="AK38" s="120" t="e">
        <f>#REF!+S38+W38+T38</f>
        <v>#REF!</v>
      </c>
    </row>
    <row r="39" spans="1:37" s="109" customFormat="1" ht="13.5" x14ac:dyDescent="0.25">
      <c r="A39" s="121">
        <v>25</v>
      </c>
      <c r="B39" s="122" t="s">
        <v>119</v>
      </c>
      <c r="C39" s="122">
        <v>46</v>
      </c>
      <c r="D39" s="122">
        <v>2</v>
      </c>
      <c r="E39" s="123"/>
      <c r="F39" s="123">
        <v>602</v>
      </c>
      <c r="G39" s="123">
        <f>99</f>
        <v>99</v>
      </c>
      <c r="H39" s="118">
        <v>185</v>
      </c>
      <c r="I39" s="118">
        <v>318</v>
      </c>
      <c r="J39" s="118"/>
      <c r="K39" s="123">
        <f t="shared" si="1"/>
        <v>99</v>
      </c>
      <c r="L39" s="124">
        <f t="shared" si="2"/>
        <v>92.5</v>
      </c>
      <c r="M39" s="124">
        <f t="shared" si="2"/>
        <v>159</v>
      </c>
      <c r="N39" s="124">
        <f t="shared" si="2"/>
        <v>0</v>
      </c>
      <c r="O39" s="124">
        <f t="shared" si="3"/>
        <v>350.5</v>
      </c>
      <c r="P39" s="124">
        <f t="shared" si="4"/>
        <v>92.5</v>
      </c>
      <c r="Q39" s="124">
        <f t="shared" si="4"/>
        <v>159</v>
      </c>
      <c r="R39" s="124">
        <f t="shared" si="4"/>
        <v>0</v>
      </c>
      <c r="S39" s="118">
        <f t="shared" si="5"/>
        <v>251.5</v>
      </c>
      <c r="T39" s="123">
        <v>82</v>
      </c>
      <c r="U39" s="123"/>
      <c r="V39" s="118">
        <v>82</v>
      </c>
      <c r="W39" s="123">
        <v>2068</v>
      </c>
      <c r="X39" s="123"/>
      <c r="Y39" s="123">
        <v>2068</v>
      </c>
      <c r="Z39" s="118">
        <v>0</v>
      </c>
      <c r="AA39" s="123"/>
      <c r="AB39" s="125">
        <v>2752</v>
      </c>
      <c r="AC39" s="117"/>
      <c r="AD39" s="118">
        <f t="shared" si="0"/>
        <v>350.5</v>
      </c>
      <c r="AE39" s="118"/>
      <c r="AF39" s="118" t="e">
        <f>#REF!-AE39</f>
        <v>#REF!</v>
      </c>
      <c r="AG39" s="118"/>
      <c r="AH39" s="118" t="e">
        <f>#REF!-AG39</f>
        <v>#REF!</v>
      </c>
      <c r="AI39" s="118"/>
      <c r="AJ39" s="119"/>
      <c r="AK39" s="120" t="e">
        <f>#REF!+S39+W39+T39</f>
        <v>#REF!</v>
      </c>
    </row>
    <row r="40" spans="1:37" s="109" customFormat="1" ht="13.5" x14ac:dyDescent="0.25">
      <c r="A40" s="121">
        <v>26</v>
      </c>
      <c r="B40" s="122" t="s">
        <v>119</v>
      </c>
      <c r="C40" s="122">
        <v>46</v>
      </c>
      <c r="D40" s="122">
        <v>3</v>
      </c>
      <c r="E40" s="123"/>
      <c r="F40" s="123">
        <v>1194</v>
      </c>
      <c r="G40" s="123">
        <f>99</f>
        <v>99</v>
      </c>
      <c r="H40" s="118">
        <v>489</v>
      </c>
      <c r="I40" s="118">
        <v>606</v>
      </c>
      <c r="J40" s="118"/>
      <c r="K40" s="123">
        <f t="shared" si="1"/>
        <v>99</v>
      </c>
      <c r="L40" s="124">
        <f t="shared" si="2"/>
        <v>244.5</v>
      </c>
      <c r="M40" s="124">
        <f t="shared" si="2"/>
        <v>303</v>
      </c>
      <c r="N40" s="124">
        <f t="shared" si="2"/>
        <v>0</v>
      </c>
      <c r="O40" s="124">
        <f t="shared" si="3"/>
        <v>646.5</v>
      </c>
      <c r="P40" s="124">
        <f t="shared" si="4"/>
        <v>244.5</v>
      </c>
      <c r="Q40" s="124">
        <f t="shared" si="4"/>
        <v>303</v>
      </c>
      <c r="R40" s="124">
        <f t="shared" si="4"/>
        <v>0</v>
      </c>
      <c r="S40" s="118">
        <f t="shared" si="5"/>
        <v>547.5</v>
      </c>
      <c r="T40" s="123">
        <v>112</v>
      </c>
      <c r="U40" s="123"/>
      <c r="V40" s="118">
        <v>112</v>
      </c>
      <c r="W40" s="123">
        <v>4960</v>
      </c>
      <c r="X40" s="123"/>
      <c r="Y40" s="123">
        <v>4960</v>
      </c>
      <c r="Z40" s="118">
        <v>120</v>
      </c>
      <c r="AA40" s="123"/>
      <c r="AB40" s="125">
        <v>6386</v>
      </c>
      <c r="AC40" s="117"/>
      <c r="AD40" s="118">
        <f t="shared" si="0"/>
        <v>646.5</v>
      </c>
      <c r="AE40" s="118"/>
      <c r="AF40" s="118" t="e">
        <f>#REF!-AE40</f>
        <v>#REF!</v>
      </c>
      <c r="AG40" s="118"/>
      <c r="AH40" s="118" t="e">
        <f>#REF!-AG40</f>
        <v>#REF!</v>
      </c>
      <c r="AI40" s="118"/>
      <c r="AJ40" s="119"/>
      <c r="AK40" s="120" t="e">
        <f>#REF!+S40+W40+T40</f>
        <v>#REF!</v>
      </c>
    </row>
    <row r="41" spans="1:37" s="109" customFormat="1" ht="13.5" x14ac:dyDescent="0.25">
      <c r="A41" s="121">
        <v>27</v>
      </c>
      <c r="B41" s="122" t="s">
        <v>119</v>
      </c>
      <c r="C41" s="122">
        <v>50</v>
      </c>
      <c r="D41" s="127"/>
      <c r="E41" s="123">
        <f>709.2</f>
        <v>709.2</v>
      </c>
      <c r="F41" s="123">
        <f>2876+E41</f>
        <v>3585.2</v>
      </c>
      <c r="G41" s="123">
        <v>1771.2</v>
      </c>
      <c r="H41" s="118">
        <v>370</v>
      </c>
      <c r="I41" s="118">
        <f>1219+225</f>
        <v>1444</v>
      </c>
      <c r="J41" s="118">
        <f>225-225</f>
        <v>0</v>
      </c>
      <c r="K41" s="123">
        <f t="shared" si="1"/>
        <v>1771.2</v>
      </c>
      <c r="L41" s="124">
        <f t="shared" si="2"/>
        <v>185</v>
      </c>
      <c r="M41" s="124">
        <f t="shared" si="2"/>
        <v>722</v>
      </c>
      <c r="N41" s="124">
        <f t="shared" si="2"/>
        <v>0</v>
      </c>
      <c r="O41" s="124">
        <f t="shared" si="3"/>
        <v>2678.2</v>
      </c>
      <c r="P41" s="124">
        <f t="shared" si="4"/>
        <v>185</v>
      </c>
      <c r="Q41" s="124">
        <f t="shared" si="4"/>
        <v>722</v>
      </c>
      <c r="R41" s="124">
        <f t="shared" si="4"/>
        <v>0</v>
      </c>
      <c r="S41" s="118">
        <f t="shared" si="5"/>
        <v>907</v>
      </c>
      <c r="T41" s="123">
        <f>303+217</f>
        <v>520</v>
      </c>
      <c r="U41" s="123"/>
      <c r="V41" s="118">
        <v>520</v>
      </c>
      <c r="W41" s="123">
        <f>3+3179</f>
        <v>3182</v>
      </c>
      <c r="X41" s="123"/>
      <c r="Y41" s="123">
        <f>3182-E41</f>
        <v>2472.8000000000002</v>
      </c>
      <c r="Z41" s="118">
        <v>0</v>
      </c>
      <c r="AA41" s="123">
        <v>10</v>
      </c>
      <c r="AB41" s="125">
        <v>6578</v>
      </c>
      <c r="AC41" s="117">
        <v>21</v>
      </c>
      <c r="AD41" s="118">
        <f t="shared" si="0"/>
        <v>2657.2</v>
      </c>
      <c r="AE41" s="118"/>
      <c r="AF41" s="118" t="e">
        <f>#REF!-AE41</f>
        <v>#REF!</v>
      </c>
      <c r="AG41" s="118">
        <v>21</v>
      </c>
      <c r="AH41" s="118" t="e">
        <f>#REF!-AG41</f>
        <v>#REF!</v>
      </c>
      <c r="AI41" s="118">
        <v>10</v>
      </c>
      <c r="AJ41" s="119"/>
      <c r="AK41" s="120" t="e">
        <f>#REF!+S41+W41+T41</f>
        <v>#REF!</v>
      </c>
    </row>
    <row r="42" spans="1:37" s="109" customFormat="1" ht="13.5" x14ac:dyDescent="0.25">
      <c r="A42" s="121">
        <v>28</v>
      </c>
      <c r="B42" s="122" t="s">
        <v>120</v>
      </c>
      <c r="C42" s="122">
        <v>53</v>
      </c>
      <c r="D42" s="122">
        <v>1</v>
      </c>
      <c r="E42" s="123">
        <f>619.02</f>
        <v>619.02</v>
      </c>
      <c r="F42" s="123">
        <f>4713+E42</f>
        <v>5332.02</v>
      </c>
      <c r="G42" s="123">
        <v>1781.02</v>
      </c>
      <c r="H42" s="118">
        <v>562</v>
      </c>
      <c r="I42" s="118">
        <f>2101-380</f>
        <v>1721</v>
      </c>
      <c r="J42" s="118">
        <v>1268</v>
      </c>
      <c r="K42" s="123">
        <f t="shared" si="1"/>
        <v>1781.02</v>
      </c>
      <c r="L42" s="124">
        <f t="shared" si="2"/>
        <v>281</v>
      </c>
      <c r="M42" s="124">
        <f t="shared" si="2"/>
        <v>860.5</v>
      </c>
      <c r="N42" s="124">
        <f t="shared" si="2"/>
        <v>634</v>
      </c>
      <c r="O42" s="124">
        <f t="shared" si="3"/>
        <v>3556.52</v>
      </c>
      <c r="P42" s="124">
        <f t="shared" si="4"/>
        <v>281</v>
      </c>
      <c r="Q42" s="124">
        <f t="shared" si="4"/>
        <v>860.5</v>
      </c>
      <c r="R42" s="124">
        <f t="shared" si="4"/>
        <v>634</v>
      </c>
      <c r="S42" s="118">
        <f t="shared" si="5"/>
        <v>1775.5</v>
      </c>
      <c r="T42" s="123">
        <f>97+790+475</f>
        <v>1362</v>
      </c>
      <c r="U42" s="123"/>
      <c r="V42" s="118">
        <v>1362</v>
      </c>
      <c r="W42" s="123">
        <v>6341</v>
      </c>
      <c r="X42" s="123"/>
      <c r="Y42" s="123">
        <f>6341-E42</f>
        <v>5721.98</v>
      </c>
      <c r="Z42" s="118">
        <v>0</v>
      </c>
      <c r="AA42" s="123">
        <v>15</v>
      </c>
      <c r="AB42" s="125">
        <v>12416</v>
      </c>
      <c r="AC42" s="117"/>
      <c r="AD42" s="118">
        <f t="shared" si="0"/>
        <v>3556.52</v>
      </c>
      <c r="AE42" s="118"/>
      <c r="AF42" s="118" t="e">
        <f>#REF!-AE42</f>
        <v>#REF!</v>
      </c>
      <c r="AG42" s="118"/>
      <c r="AH42" s="118" t="e">
        <f>#REF!-AG42</f>
        <v>#REF!</v>
      </c>
      <c r="AI42" s="118">
        <v>15</v>
      </c>
      <c r="AJ42" s="119"/>
      <c r="AK42" s="120">
        <f t="shared" ref="AK42:AK59" si="6">O42+S42+T42+W42</f>
        <v>13035.02</v>
      </c>
    </row>
    <row r="43" spans="1:37" s="109" customFormat="1" ht="13.5" x14ac:dyDescent="0.25">
      <c r="A43" s="121">
        <v>29</v>
      </c>
      <c r="B43" s="122" t="s">
        <v>121</v>
      </c>
      <c r="C43" s="122" t="s">
        <v>122</v>
      </c>
      <c r="D43" s="122">
        <v>1</v>
      </c>
      <c r="E43" s="123"/>
      <c r="F43" s="123">
        <f>2251+E43</f>
        <v>2251</v>
      </c>
      <c r="G43" s="123">
        <f>202+E43</f>
        <v>202</v>
      </c>
      <c r="H43" s="118">
        <v>128</v>
      </c>
      <c r="I43" s="118">
        <f>842-69</f>
        <v>773</v>
      </c>
      <c r="J43" s="118">
        <v>1148</v>
      </c>
      <c r="K43" s="123">
        <f t="shared" si="1"/>
        <v>202</v>
      </c>
      <c r="L43" s="124">
        <f t="shared" si="2"/>
        <v>64</v>
      </c>
      <c r="M43" s="124">
        <f t="shared" si="2"/>
        <v>386.5</v>
      </c>
      <c r="N43" s="124">
        <f t="shared" si="2"/>
        <v>574</v>
      </c>
      <c r="O43" s="124">
        <f t="shared" si="3"/>
        <v>1226.5</v>
      </c>
      <c r="P43" s="124">
        <f t="shared" si="4"/>
        <v>64</v>
      </c>
      <c r="Q43" s="124">
        <f t="shared" si="4"/>
        <v>386.5</v>
      </c>
      <c r="R43" s="124">
        <f t="shared" si="4"/>
        <v>574</v>
      </c>
      <c r="S43" s="118">
        <f t="shared" si="5"/>
        <v>1024.5</v>
      </c>
      <c r="T43" s="123">
        <v>255</v>
      </c>
      <c r="U43" s="123"/>
      <c r="V43" s="118">
        <v>255</v>
      </c>
      <c r="W43" s="123">
        <f>28+3328</f>
        <v>3356</v>
      </c>
      <c r="X43" s="123"/>
      <c r="Y43" s="123">
        <f>3356-E43</f>
        <v>3356</v>
      </c>
      <c r="Z43" s="118">
        <v>0</v>
      </c>
      <c r="AA43" s="123">
        <v>34.5</v>
      </c>
      <c r="AB43" s="125">
        <v>5862</v>
      </c>
      <c r="AC43" s="117"/>
      <c r="AD43" s="118">
        <f t="shared" si="0"/>
        <v>1226.5</v>
      </c>
      <c r="AE43" s="118"/>
      <c r="AF43" s="118" t="e">
        <f>#REF!-AE43</f>
        <v>#REF!</v>
      </c>
      <c r="AG43" s="118"/>
      <c r="AH43" s="118" t="e">
        <f>#REF!-AG43</f>
        <v>#REF!</v>
      </c>
      <c r="AI43" s="118">
        <v>35</v>
      </c>
      <c r="AJ43" s="119"/>
      <c r="AK43" s="120">
        <f t="shared" si="6"/>
        <v>5862</v>
      </c>
    </row>
    <row r="44" spans="1:37" s="109" customFormat="1" ht="13.5" x14ac:dyDescent="0.25">
      <c r="A44" s="121">
        <v>30</v>
      </c>
      <c r="B44" s="122" t="s">
        <v>121</v>
      </c>
      <c r="C44" s="122" t="s">
        <v>122</v>
      </c>
      <c r="D44" s="122">
        <v>2</v>
      </c>
      <c r="E44" s="123"/>
      <c r="F44" s="123">
        <v>1387</v>
      </c>
      <c r="G44" s="123">
        <f>133</f>
        <v>133</v>
      </c>
      <c r="H44" s="118">
        <v>188</v>
      </c>
      <c r="I44" s="118">
        <v>780</v>
      </c>
      <c r="J44" s="118">
        <v>286</v>
      </c>
      <c r="K44" s="123">
        <f t="shared" si="1"/>
        <v>133</v>
      </c>
      <c r="L44" s="124">
        <f t="shared" si="2"/>
        <v>94</v>
      </c>
      <c r="M44" s="124">
        <f t="shared" si="2"/>
        <v>390</v>
      </c>
      <c r="N44" s="124">
        <f t="shared" si="2"/>
        <v>143</v>
      </c>
      <c r="O44" s="124">
        <f t="shared" si="3"/>
        <v>760</v>
      </c>
      <c r="P44" s="124">
        <f t="shared" si="4"/>
        <v>94</v>
      </c>
      <c r="Q44" s="124">
        <f t="shared" si="4"/>
        <v>390</v>
      </c>
      <c r="R44" s="124">
        <f t="shared" si="4"/>
        <v>143</v>
      </c>
      <c r="S44" s="118">
        <f t="shared" si="5"/>
        <v>627</v>
      </c>
      <c r="T44" s="123"/>
      <c r="U44" s="123"/>
      <c r="V44" s="118">
        <v>0</v>
      </c>
      <c r="W44" s="123">
        <v>1579</v>
      </c>
      <c r="X44" s="123"/>
      <c r="Y44" s="123">
        <v>1579</v>
      </c>
      <c r="Z44" s="118">
        <v>0</v>
      </c>
      <c r="AA44" s="123"/>
      <c r="AB44" s="125">
        <v>2966</v>
      </c>
      <c r="AC44" s="117"/>
      <c r="AD44" s="118">
        <f t="shared" si="0"/>
        <v>760</v>
      </c>
      <c r="AE44" s="118"/>
      <c r="AF44" s="118" t="e">
        <f>#REF!-AE44</f>
        <v>#REF!</v>
      </c>
      <c r="AG44" s="118"/>
      <c r="AH44" s="118" t="e">
        <f>#REF!-AG44</f>
        <v>#REF!</v>
      </c>
      <c r="AI44" s="118"/>
      <c r="AJ44" s="119"/>
      <c r="AK44" s="120">
        <f t="shared" si="6"/>
        <v>2966</v>
      </c>
    </row>
    <row r="45" spans="1:37" s="109" customFormat="1" ht="13.5" x14ac:dyDescent="0.25">
      <c r="A45" s="121">
        <v>31</v>
      </c>
      <c r="B45" s="122" t="s">
        <v>121</v>
      </c>
      <c r="C45" s="122" t="s">
        <v>122</v>
      </c>
      <c r="D45" s="122">
        <v>3</v>
      </c>
      <c r="E45" s="123">
        <f>305</f>
        <v>305</v>
      </c>
      <c r="F45" s="123">
        <f>2485+E45</f>
        <v>2790</v>
      </c>
      <c r="G45" s="123">
        <v>438</v>
      </c>
      <c r="H45" s="118">
        <v>216</v>
      </c>
      <c r="I45" s="118">
        <v>1311</v>
      </c>
      <c r="J45" s="118">
        <v>825</v>
      </c>
      <c r="K45" s="123">
        <f t="shared" si="1"/>
        <v>438</v>
      </c>
      <c r="L45" s="124">
        <f t="shared" si="2"/>
        <v>108</v>
      </c>
      <c r="M45" s="124">
        <f t="shared" si="2"/>
        <v>655.5</v>
      </c>
      <c r="N45" s="124">
        <f t="shared" si="2"/>
        <v>412.5</v>
      </c>
      <c r="O45" s="124">
        <f t="shared" si="3"/>
        <v>1614</v>
      </c>
      <c r="P45" s="124">
        <f t="shared" si="4"/>
        <v>108</v>
      </c>
      <c r="Q45" s="124">
        <f t="shared" si="4"/>
        <v>655.5</v>
      </c>
      <c r="R45" s="124">
        <f t="shared" si="4"/>
        <v>412.5</v>
      </c>
      <c r="S45" s="118">
        <f t="shared" si="5"/>
        <v>1176</v>
      </c>
      <c r="T45" s="123"/>
      <c r="U45" s="123"/>
      <c r="V45" s="118">
        <v>0</v>
      </c>
      <c r="W45" s="123">
        <v>1278</v>
      </c>
      <c r="X45" s="123"/>
      <c r="Y45" s="123">
        <f>1278-E45</f>
        <v>973</v>
      </c>
      <c r="Z45" s="118">
        <v>0</v>
      </c>
      <c r="AA45" s="123"/>
      <c r="AB45" s="125">
        <v>3763</v>
      </c>
      <c r="AC45" s="117"/>
      <c r="AD45" s="118">
        <f t="shared" si="0"/>
        <v>1614</v>
      </c>
      <c r="AE45" s="118"/>
      <c r="AF45" s="118" t="e">
        <f>#REF!-AE45</f>
        <v>#REF!</v>
      </c>
      <c r="AG45" s="118"/>
      <c r="AH45" s="118" t="e">
        <f>#REF!-AG45</f>
        <v>#REF!</v>
      </c>
      <c r="AI45" s="118"/>
      <c r="AJ45" s="119"/>
      <c r="AK45" s="120">
        <f t="shared" si="6"/>
        <v>4068</v>
      </c>
    </row>
    <row r="46" spans="1:37" s="109" customFormat="1" ht="13.5" x14ac:dyDescent="0.25">
      <c r="A46" s="121">
        <v>32</v>
      </c>
      <c r="B46" s="122" t="s">
        <v>121</v>
      </c>
      <c r="C46" s="122">
        <v>16</v>
      </c>
      <c r="D46" s="122">
        <v>1</v>
      </c>
      <c r="E46" s="123"/>
      <c r="F46" s="123">
        <v>1812</v>
      </c>
      <c r="G46" s="123">
        <f>137+733</f>
        <v>870</v>
      </c>
      <c r="H46" s="118">
        <v>407</v>
      </c>
      <c r="I46" s="118">
        <f>1268-733</f>
        <v>535</v>
      </c>
      <c r="J46" s="118"/>
      <c r="K46" s="123">
        <f t="shared" si="1"/>
        <v>870</v>
      </c>
      <c r="L46" s="124">
        <f t="shared" si="2"/>
        <v>203.5</v>
      </c>
      <c r="M46" s="124">
        <f t="shared" si="2"/>
        <v>267.5</v>
      </c>
      <c r="N46" s="124">
        <f t="shared" si="2"/>
        <v>0</v>
      </c>
      <c r="O46" s="124">
        <f t="shared" si="3"/>
        <v>1341</v>
      </c>
      <c r="P46" s="124">
        <f t="shared" si="4"/>
        <v>203.5</v>
      </c>
      <c r="Q46" s="124">
        <f t="shared" si="4"/>
        <v>267.5</v>
      </c>
      <c r="R46" s="124">
        <f t="shared" si="4"/>
        <v>0</v>
      </c>
      <c r="S46" s="118">
        <f t="shared" si="5"/>
        <v>471</v>
      </c>
      <c r="T46" s="123"/>
      <c r="U46" s="123"/>
      <c r="V46" s="118">
        <v>0</v>
      </c>
      <c r="W46" s="123">
        <v>5079</v>
      </c>
      <c r="X46" s="123"/>
      <c r="Y46" s="123">
        <v>5079</v>
      </c>
      <c r="Z46" s="118">
        <v>0</v>
      </c>
      <c r="AA46" s="123"/>
      <c r="AB46" s="125">
        <v>6891</v>
      </c>
      <c r="AC46" s="117"/>
      <c r="AD46" s="118">
        <f t="shared" si="0"/>
        <v>1341</v>
      </c>
      <c r="AE46" s="118"/>
      <c r="AF46" s="118" t="e">
        <f>#REF!-AE46</f>
        <v>#REF!</v>
      </c>
      <c r="AG46" s="118"/>
      <c r="AH46" s="118" t="e">
        <f>#REF!-AG46</f>
        <v>#REF!</v>
      </c>
      <c r="AI46" s="118"/>
      <c r="AJ46" s="119"/>
      <c r="AK46" s="120">
        <f t="shared" si="6"/>
        <v>6891</v>
      </c>
    </row>
    <row r="47" spans="1:37" s="109" customFormat="1" ht="13.5" x14ac:dyDescent="0.25">
      <c r="A47" s="121">
        <v>33</v>
      </c>
      <c r="B47" s="122" t="s">
        <v>121</v>
      </c>
      <c r="C47" s="122">
        <v>16</v>
      </c>
      <c r="D47" s="122">
        <v>2</v>
      </c>
      <c r="E47" s="123"/>
      <c r="F47" s="123">
        <v>2113</v>
      </c>
      <c r="G47" s="123">
        <f>135</f>
        <v>135</v>
      </c>
      <c r="H47" s="118">
        <v>426</v>
      </c>
      <c r="I47" s="118">
        <v>1552</v>
      </c>
      <c r="J47" s="118"/>
      <c r="K47" s="123">
        <f t="shared" si="1"/>
        <v>135</v>
      </c>
      <c r="L47" s="124">
        <f t="shared" si="2"/>
        <v>213</v>
      </c>
      <c r="M47" s="124">
        <f t="shared" si="2"/>
        <v>776</v>
      </c>
      <c r="N47" s="124">
        <f t="shared" si="2"/>
        <v>0</v>
      </c>
      <c r="O47" s="124">
        <f t="shared" si="3"/>
        <v>1124</v>
      </c>
      <c r="P47" s="124">
        <f t="shared" si="4"/>
        <v>213</v>
      </c>
      <c r="Q47" s="124">
        <f t="shared" si="4"/>
        <v>776</v>
      </c>
      <c r="R47" s="124">
        <f t="shared" si="4"/>
        <v>0</v>
      </c>
      <c r="S47" s="118">
        <f t="shared" si="5"/>
        <v>989</v>
      </c>
      <c r="T47" s="123">
        <v>273</v>
      </c>
      <c r="U47" s="123"/>
      <c r="V47" s="118">
        <v>273</v>
      </c>
      <c r="W47" s="123">
        <v>4999</v>
      </c>
      <c r="X47" s="123"/>
      <c r="Y47" s="123">
        <v>4999</v>
      </c>
      <c r="Z47" s="118">
        <v>0</v>
      </c>
      <c r="AA47" s="123"/>
      <c r="AB47" s="125">
        <v>7385</v>
      </c>
      <c r="AC47" s="117"/>
      <c r="AD47" s="118">
        <f t="shared" si="0"/>
        <v>1124</v>
      </c>
      <c r="AE47" s="118"/>
      <c r="AF47" s="118" t="e">
        <f>#REF!-AE47</f>
        <v>#REF!</v>
      </c>
      <c r="AG47" s="128"/>
      <c r="AH47" s="118" t="e">
        <f>#REF!-AG47</f>
        <v>#REF!</v>
      </c>
      <c r="AI47" s="118"/>
      <c r="AJ47" s="119"/>
      <c r="AK47" s="120">
        <f t="shared" si="6"/>
        <v>7385</v>
      </c>
    </row>
    <row r="48" spans="1:37" s="109" customFormat="1" ht="13.5" x14ac:dyDescent="0.25">
      <c r="A48" s="121">
        <v>34</v>
      </c>
      <c r="B48" s="122" t="s">
        <v>121</v>
      </c>
      <c r="C48" s="122">
        <v>16</v>
      </c>
      <c r="D48" s="122">
        <v>3</v>
      </c>
      <c r="E48" s="123"/>
      <c r="F48" s="123">
        <v>1927</v>
      </c>
      <c r="G48" s="123">
        <f>140+132</f>
        <v>272</v>
      </c>
      <c r="H48" s="118">
        <v>320</v>
      </c>
      <c r="I48" s="118">
        <f>1467-132</f>
        <v>1335</v>
      </c>
      <c r="J48" s="118"/>
      <c r="K48" s="123">
        <f t="shared" si="1"/>
        <v>272</v>
      </c>
      <c r="L48" s="124">
        <f t="shared" si="2"/>
        <v>160</v>
      </c>
      <c r="M48" s="124">
        <f t="shared" si="2"/>
        <v>667.5</v>
      </c>
      <c r="N48" s="124">
        <f t="shared" si="2"/>
        <v>0</v>
      </c>
      <c r="O48" s="124">
        <f t="shared" si="3"/>
        <v>1099.5</v>
      </c>
      <c r="P48" s="124">
        <f t="shared" si="4"/>
        <v>160</v>
      </c>
      <c r="Q48" s="124">
        <f t="shared" si="4"/>
        <v>667.5</v>
      </c>
      <c r="R48" s="124">
        <f t="shared" si="4"/>
        <v>0</v>
      </c>
      <c r="S48" s="118">
        <f t="shared" si="5"/>
        <v>827.5</v>
      </c>
      <c r="T48" s="123">
        <f>383+924</f>
        <v>1307</v>
      </c>
      <c r="U48" s="123"/>
      <c r="V48" s="118">
        <v>1307</v>
      </c>
      <c r="W48" s="123">
        <v>8002</v>
      </c>
      <c r="X48" s="123"/>
      <c r="Y48" s="123">
        <v>8002</v>
      </c>
      <c r="Z48" s="118">
        <v>202</v>
      </c>
      <c r="AA48" s="123">
        <v>30</v>
      </c>
      <c r="AB48" s="125">
        <v>11438</v>
      </c>
      <c r="AC48" s="117"/>
      <c r="AD48" s="118">
        <f t="shared" si="0"/>
        <v>1099.5</v>
      </c>
      <c r="AE48" s="118"/>
      <c r="AF48" s="118" t="e">
        <f>#REF!-AE48</f>
        <v>#REF!</v>
      </c>
      <c r="AG48" s="118">
        <v>36</v>
      </c>
      <c r="AH48" s="118" t="e">
        <f>#REF!-AG48</f>
        <v>#REF!</v>
      </c>
      <c r="AI48" s="118">
        <v>30</v>
      </c>
      <c r="AJ48" s="119"/>
      <c r="AK48" s="120">
        <f t="shared" si="6"/>
        <v>11236</v>
      </c>
    </row>
    <row r="49" spans="1:37" s="109" customFormat="1" ht="13.5" x14ac:dyDescent="0.25">
      <c r="A49" s="121">
        <v>35</v>
      </c>
      <c r="B49" s="122" t="s">
        <v>121</v>
      </c>
      <c r="C49" s="122">
        <v>18</v>
      </c>
      <c r="D49" s="122">
        <v>1</v>
      </c>
      <c r="E49" s="123"/>
      <c r="F49" s="123">
        <v>1686</v>
      </c>
      <c r="G49" s="123">
        <f>160+172</f>
        <v>332</v>
      </c>
      <c r="H49" s="118">
        <f>245+332</f>
        <v>577</v>
      </c>
      <c r="I49" s="118">
        <f>949-172</f>
        <v>777</v>
      </c>
      <c r="J49" s="118"/>
      <c r="K49" s="123">
        <f t="shared" si="1"/>
        <v>332</v>
      </c>
      <c r="L49" s="124">
        <f t="shared" si="2"/>
        <v>288.5</v>
      </c>
      <c r="M49" s="124">
        <f t="shared" si="2"/>
        <v>388.5</v>
      </c>
      <c r="N49" s="124">
        <f t="shared" si="2"/>
        <v>0</v>
      </c>
      <c r="O49" s="124">
        <f t="shared" si="3"/>
        <v>1009</v>
      </c>
      <c r="P49" s="124">
        <f t="shared" si="4"/>
        <v>288.5</v>
      </c>
      <c r="Q49" s="124">
        <f t="shared" si="4"/>
        <v>388.5</v>
      </c>
      <c r="R49" s="124">
        <f t="shared" si="4"/>
        <v>0</v>
      </c>
      <c r="S49" s="118">
        <f t="shared" si="5"/>
        <v>677</v>
      </c>
      <c r="T49" s="123">
        <v>26</v>
      </c>
      <c r="U49" s="123"/>
      <c r="V49" s="118">
        <v>26</v>
      </c>
      <c r="W49" s="123">
        <v>6930</v>
      </c>
      <c r="X49" s="123"/>
      <c r="Y49" s="123">
        <v>6930</v>
      </c>
      <c r="Z49" s="118">
        <v>0</v>
      </c>
      <c r="AA49" s="123"/>
      <c r="AB49" s="125">
        <v>8642</v>
      </c>
      <c r="AC49" s="117"/>
      <c r="AD49" s="118">
        <f t="shared" si="0"/>
        <v>1009</v>
      </c>
      <c r="AE49" s="118"/>
      <c r="AF49" s="118" t="e">
        <f>#REF!-AE49</f>
        <v>#REF!</v>
      </c>
      <c r="AG49" s="118"/>
      <c r="AH49" s="118" t="e">
        <f>#REF!-AG49</f>
        <v>#REF!</v>
      </c>
      <c r="AI49" s="118"/>
      <c r="AJ49" s="119"/>
      <c r="AK49" s="120">
        <f t="shared" si="6"/>
        <v>8642</v>
      </c>
    </row>
    <row r="50" spans="1:37" s="109" customFormat="1" ht="13.5" x14ac:dyDescent="0.25">
      <c r="A50" s="121">
        <v>36</v>
      </c>
      <c r="B50" s="122" t="s">
        <v>121</v>
      </c>
      <c r="C50" s="122">
        <v>18</v>
      </c>
      <c r="D50" s="122">
        <v>2</v>
      </c>
      <c r="E50" s="123"/>
      <c r="F50" s="123">
        <v>1890</v>
      </c>
      <c r="G50" s="123">
        <f>160</f>
        <v>160</v>
      </c>
      <c r="H50" s="118">
        <v>244</v>
      </c>
      <c r="I50" s="118">
        <f>1372</f>
        <v>1372</v>
      </c>
      <c r="J50" s="118">
        <v>114</v>
      </c>
      <c r="K50" s="123">
        <f t="shared" si="1"/>
        <v>160</v>
      </c>
      <c r="L50" s="124">
        <f t="shared" si="2"/>
        <v>122</v>
      </c>
      <c r="M50" s="124">
        <f t="shared" si="2"/>
        <v>686</v>
      </c>
      <c r="N50" s="124">
        <f t="shared" si="2"/>
        <v>57</v>
      </c>
      <c r="O50" s="124">
        <f t="shared" si="3"/>
        <v>1025</v>
      </c>
      <c r="P50" s="124">
        <f t="shared" si="4"/>
        <v>122</v>
      </c>
      <c r="Q50" s="124">
        <f t="shared" si="4"/>
        <v>686</v>
      </c>
      <c r="R50" s="124">
        <f t="shared" si="4"/>
        <v>57</v>
      </c>
      <c r="S50" s="118">
        <f t="shared" si="5"/>
        <v>865</v>
      </c>
      <c r="T50" s="123">
        <v>9</v>
      </c>
      <c r="U50" s="123"/>
      <c r="V50" s="118">
        <v>9</v>
      </c>
      <c r="W50" s="123">
        <v>4787</v>
      </c>
      <c r="X50" s="123"/>
      <c r="Y50" s="123">
        <v>4787</v>
      </c>
      <c r="Z50" s="118">
        <v>0</v>
      </c>
      <c r="AA50" s="123"/>
      <c r="AB50" s="125">
        <v>6686</v>
      </c>
      <c r="AC50" s="117"/>
      <c r="AD50" s="118">
        <f t="shared" si="0"/>
        <v>1025</v>
      </c>
      <c r="AE50" s="118"/>
      <c r="AF50" s="118" t="e">
        <f>#REF!-AE50</f>
        <v>#REF!</v>
      </c>
      <c r="AG50" s="128"/>
      <c r="AH50" s="118" t="e">
        <f>#REF!-AG50</f>
        <v>#REF!</v>
      </c>
      <c r="AI50" s="118"/>
      <c r="AJ50" s="119"/>
      <c r="AK50" s="120">
        <f t="shared" si="6"/>
        <v>6686</v>
      </c>
    </row>
    <row r="51" spans="1:37" s="109" customFormat="1" ht="13.5" x14ac:dyDescent="0.25">
      <c r="A51" s="121">
        <v>37</v>
      </c>
      <c r="B51" s="122" t="s">
        <v>121</v>
      </c>
      <c r="C51" s="122">
        <v>18</v>
      </c>
      <c r="D51" s="122">
        <v>3</v>
      </c>
      <c r="E51" s="123"/>
      <c r="F51" s="123">
        <v>1628</v>
      </c>
      <c r="G51" s="123">
        <f>200+607</f>
        <v>807</v>
      </c>
      <c r="H51" s="118">
        <v>282</v>
      </c>
      <c r="I51" s="118">
        <f>1146-607</f>
        <v>539</v>
      </c>
      <c r="J51" s="118"/>
      <c r="K51" s="123">
        <f t="shared" si="1"/>
        <v>807</v>
      </c>
      <c r="L51" s="124">
        <f t="shared" si="2"/>
        <v>141</v>
      </c>
      <c r="M51" s="124">
        <f t="shared" si="2"/>
        <v>269.5</v>
      </c>
      <c r="N51" s="124">
        <f t="shared" si="2"/>
        <v>0</v>
      </c>
      <c r="O51" s="124">
        <f t="shared" si="3"/>
        <v>1217.5</v>
      </c>
      <c r="P51" s="124">
        <f t="shared" si="4"/>
        <v>141</v>
      </c>
      <c r="Q51" s="124">
        <f t="shared" si="4"/>
        <v>269.5</v>
      </c>
      <c r="R51" s="124">
        <f t="shared" si="4"/>
        <v>0</v>
      </c>
      <c r="S51" s="118">
        <f t="shared" si="5"/>
        <v>410.5</v>
      </c>
      <c r="T51" s="123"/>
      <c r="U51" s="123"/>
      <c r="V51" s="118">
        <v>0</v>
      </c>
      <c r="W51" s="123">
        <v>4595</v>
      </c>
      <c r="X51" s="123"/>
      <c r="Y51" s="123">
        <v>4595</v>
      </c>
      <c r="Z51" s="118">
        <v>0</v>
      </c>
      <c r="AA51" s="123"/>
      <c r="AB51" s="125">
        <v>6223</v>
      </c>
      <c r="AC51" s="117"/>
      <c r="AD51" s="118">
        <f t="shared" si="0"/>
        <v>1217.5</v>
      </c>
      <c r="AE51" s="118"/>
      <c r="AF51" s="118" t="e">
        <f>#REF!-AE51</f>
        <v>#REF!</v>
      </c>
      <c r="AG51" s="118"/>
      <c r="AH51" s="118" t="e">
        <f>#REF!-AG51</f>
        <v>#REF!</v>
      </c>
      <c r="AI51" s="118"/>
      <c r="AJ51" s="119"/>
      <c r="AK51" s="120">
        <f t="shared" si="6"/>
        <v>6223</v>
      </c>
    </row>
    <row r="52" spans="1:37" s="109" customFormat="1" ht="13.5" x14ac:dyDescent="0.25">
      <c r="A52" s="121">
        <v>38</v>
      </c>
      <c r="B52" s="122" t="s">
        <v>121</v>
      </c>
      <c r="C52" s="122">
        <v>18</v>
      </c>
      <c r="D52" s="122">
        <v>4</v>
      </c>
      <c r="E52" s="123"/>
      <c r="F52" s="123">
        <v>4054</v>
      </c>
      <c r="G52" s="123">
        <f>340</f>
        <v>340</v>
      </c>
      <c r="H52" s="118">
        <v>497</v>
      </c>
      <c r="I52" s="118">
        <v>3217</v>
      </c>
      <c r="J52" s="118"/>
      <c r="K52" s="123">
        <f t="shared" si="1"/>
        <v>340</v>
      </c>
      <c r="L52" s="124">
        <f t="shared" si="2"/>
        <v>248.5</v>
      </c>
      <c r="M52" s="124">
        <f t="shared" si="2"/>
        <v>1608.5</v>
      </c>
      <c r="N52" s="124">
        <f t="shared" si="2"/>
        <v>0</v>
      </c>
      <c r="O52" s="124">
        <f t="shared" si="3"/>
        <v>2197</v>
      </c>
      <c r="P52" s="124">
        <f t="shared" si="4"/>
        <v>248.5</v>
      </c>
      <c r="Q52" s="124">
        <f t="shared" si="4"/>
        <v>1608.5</v>
      </c>
      <c r="R52" s="124">
        <f t="shared" si="4"/>
        <v>0</v>
      </c>
      <c r="S52" s="118">
        <f t="shared" si="5"/>
        <v>1857</v>
      </c>
      <c r="T52" s="123">
        <f>113+1895</f>
        <v>2008</v>
      </c>
      <c r="U52" s="123"/>
      <c r="V52" s="118">
        <v>2008</v>
      </c>
      <c r="W52" s="123">
        <f>10448+2999</f>
        <v>13447</v>
      </c>
      <c r="X52" s="123"/>
      <c r="Y52" s="123">
        <v>13447</v>
      </c>
      <c r="Z52" s="118">
        <v>0</v>
      </c>
      <c r="AA52" s="123">
        <v>33</v>
      </c>
      <c r="AB52" s="125">
        <v>19509</v>
      </c>
      <c r="AC52" s="117">
        <v>36</v>
      </c>
      <c r="AD52" s="118">
        <f t="shared" si="0"/>
        <v>2161</v>
      </c>
      <c r="AE52" s="118"/>
      <c r="AF52" s="118" t="e">
        <f>#REF!-AE52</f>
        <v>#REF!</v>
      </c>
      <c r="AG52" s="118">
        <v>288</v>
      </c>
      <c r="AH52" s="118" t="e">
        <f>#REF!-AG52</f>
        <v>#REF!</v>
      </c>
      <c r="AI52" s="118">
        <v>33</v>
      </c>
      <c r="AJ52" s="119"/>
      <c r="AK52" s="120">
        <f t="shared" si="6"/>
        <v>19509</v>
      </c>
    </row>
    <row r="53" spans="1:37" s="109" customFormat="1" ht="13.5" x14ac:dyDescent="0.25">
      <c r="A53" s="121">
        <v>39</v>
      </c>
      <c r="B53" s="122" t="s">
        <v>121</v>
      </c>
      <c r="C53" s="122">
        <v>22</v>
      </c>
      <c r="D53" s="122"/>
      <c r="E53" s="123">
        <f>113+41.3</f>
        <v>154.30000000000001</v>
      </c>
      <c r="F53" s="123">
        <f>4229+E53</f>
        <v>4383.3</v>
      </c>
      <c r="G53" s="123">
        <v>872.3</v>
      </c>
      <c r="H53" s="118">
        <v>460</v>
      </c>
      <c r="I53" s="118">
        <v>1735</v>
      </c>
      <c r="J53" s="118">
        <v>1316</v>
      </c>
      <c r="K53" s="123">
        <f t="shared" si="1"/>
        <v>872.3</v>
      </c>
      <c r="L53" s="124">
        <f t="shared" si="2"/>
        <v>230</v>
      </c>
      <c r="M53" s="124">
        <f t="shared" si="2"/>
        <v>867.5</v>
      </c>
      <c r="N53" s="124">
        <f t="shared" si="2"/>
        <v>658</v>
      </c>
      <c r="O53" s="124">
        <f t="shared" si="3"/>
        <v>2627.8</v>
      </c>
      <c r="P53" s="124">
        <f t="shared" si="4"/>
        <v>230</v>
      </c>
      <c r="Q53" s="124">
        <f t="shared" si="4"/>
        <v>867.5</v>
      </c>
      <c r="R53" s="124">
        <f t="shared" si="4"/>
        <v>658</v>
      </c>
      <c r="S53" s="118">
        <f t="shared" si="5"/>
        <v>1755.5</v>
      </c>
      <c r="T53" s="123">
        <f>369+225+2377</f>
        <v>2971</v>
      </c>
      <c r="U53" s="123"/>
      <c r="V53" s="118">
        <v>2971</v>
      </c>
      <c r="W53" s="123">
        <v>12955</v>
      </c>
      <c r="X53" s="123"/>
      <c r="Y53" s="123">
        <f>12955-E53</f>
        <v>12800.7</v>
      </c>
      <c r="Z53" s="118">
        <v>0</v>
      </c>
      <c r="AA53" s="123"/>
      <c r="AB53" s="125">
        <v>20155</v>
      </c>
      <c r="AC53" s="117"/>
      <c r="AD53" s="118">
        <f t="shared" si="0"/>
        <v>2627.8</v>
      </c>
      <c r="AE53" s="118"/>
      <c r="AF53" s="118" t="e">
        <f>#REF!-AE53</f>
        <v>#REF!</v>
      </c>
      <c r="AG53" s="118">
        <v>162</v>
      </c>
      <c r="AH53" s="118" t="e">
        <f>#REF!-AG53</f>
        <v>#REF!</v>
      </c>
      <c r="AI53" s="118"/>
      <c r="AJ53" s="119"/>
      <c r="AK53" s="120">
        <f t="shared" si="6"/>
        <v>20309.3</v>
      </c>
    </row>
    <row r="54" spans="1:37" s="109" customFormat="1" ht="13.5" x14ac:dyDescent="0.25">
      <c r="A54" s="121">
        <v>40</v>
      </c>
      <c r="B54" s="122" t="s">
        <v>121</v>
      </c>
      <c r="C54" s="122">
        <v>26</v>
      </c>
      <c r="D54" s="122">
        <v>1</v>
      </c>
      <c r="E54" s="123">
        <f>76.65+42.9+358.16+34.2</f>
        <v>511.91</v>
      </c>
      <c r="F54" s="123">
        <f>3166+E54</f>
        <v>3677.91</v>
      </c>
      <c r="G54" s="123">
        <v>761.91</v>
      </c>
      <c r="H54" s="118">
        <v>300</v>
      </c>
      <c r="I54" s="118">
        <v>1959</v>
      </c>
      <c r="J54" s="118">
        <v>657</v>
      </c>
      <c r="K54" s="123">
        <f t="shared" si="1"/>
        <v>761.91</v>
      </c>
      <c r="L54" s="124">
        <f t="shared" si="2"/>
        <v>150</v>
      </c>
      <c r="M54" s="124">
        <f t="shared" si="2"/>
        <v>979.5</v>
      </c>
      <c r="N54" s="124">
        <f t="shared" si="2"/>
        <v>328.5</v>
      </c>
      <c r="O54" s="124">
        <f t="shared" si="3"/>
        <v>2219.91</v>
      </c>
      <c r="P54" s="124">
        <f t="shared" si="4"/>
        <v>150</v>
      </c>
      <c r="Q54" s="124">
        <f t="shared" si="4"/>
        <v>979.5</v>
      </c>
      <c r="R54" s="124">
        <f t="shared" si="4"/>
        <v>328.5</v>
      </c>
      <c r="S54" s="118">
        <f t="shared" si="5"/>
        <v>1458</v>
      </c>
      <c r="T54" s="123">
        <v>0</v>
      </c>
      <c r="U54" s="123"/>
      <c r="V54" s="118">
        <v>0</v>
      </c>
      <c r="W54" s="123">
        <f>8372</f>
        <v>8372</v>
      </c>
      <c r="X54" s="123"/>
      <c r="Y54" s="123">
        <f>8372-E54</f>
        <v>7860.09</v>
      </c>
      <c r="Z54" s="118">
        <v>0</v>
      </c>
      <c r="AA54" s="123"/>
      <c r="AB54" s="125">
        <v>11538</v>
      </c>
      <c r="AC54" s="117"/>
      <c r="AD54" s="118">
        <f t="shared" si="0"/>
        <v>2219.91</v>
      </c>
      <c r="AE54" s="118"/>
      <c r="AF54" s="118" t="e">
        <f>#REF!-AE54</f>
        <v>#REF!</v>
      </c>
      <c r="AG54" s="118"/>
      <c r="AH54" s="118" t="e">
        <f>#REF!-AG54</f>
        <v>#REF!</v>
      </c>
      <c r="AI54" s="118"/>
      <c r="AJ54" s="119"/>
      <c r="AK54" s="120">
        <f t="shared" si="6"/>
        <v>12049.91</v>
      </c>
    </row>
    <row r="55" spans="1:37" s="109" customFormat="1" ht="13.5" x14ac:dyDescent="0.25">
      <c r="A55" s="121">
        <v>41</v>
      </c>
      <c r="B55" s="122" t="s">
        <v>121</v>
      </c>
      <c r="C55" s="122">
        <v>26</v>
      </c>
      <c r="D55" s="122">
        <v>2</v>
      </c>
      <c r="E55" s="123"/>
      <c r="F55" s="123">
        <v>2071</v>
      </c>
      <c r="G55" s="123">
        <f>200+372</f>
        <v>572</v>
      </c>
      <c r="H55" s="118">
        <v>306</v>
      </c>
      <c r="I55" s="118">
        <f>1565-372</f>
        <v>1193</v>
      </c>
      <c r="J55" s="118"/>
      <c r="K55" s="123">
        <f t="shared" si="1"/>
        <v>572</v>
      </c>
      <c r="L55" s="124">
        <f t="shared" si="2"/>
        <v>153</v>
      </c>
      <c r="M55" s="124">
        <f t="shared" si="2"/>
        <v>596.5</v>
      </c>
      <c r="N55" s="124">
        <f t="shared" si="2"/>
        <v>0</v>
      </c>
      <c r="O55" s="124">
        <f t="shared" si="3"/>
        <v>1321.5</v>
      </c>
      <c r="P55" s="124">
        <f t="shared" si="4"/>
        <v>153</v>
      </c>
      <c r="Q55" s="124">
        <f t="shared" si="4"/>
        <v>596.5</v>
      </c>
      <c r="R55" s="124">
        <f t="shared" si="4"/>
        <v>0</v>
      </c>
      <c r="S55" s="118">
        <f t="shared" si="5"/>
        <v>749.5</v>
      </c>
      <c r="T55" s="123">
        <v>186</v>
      </c>
      <c r="U55" s="123"/>
      <c r="V55" s="118">
        <v>186</v>
      </c>
      <c r="W55" s="123">
        <v>6479</v>
      </c>
      <c r="X55" s="123"/>
      <c r="Y55" s="123">
        <v>6479</v>
      </c>
      <c r="Z55" s="118">
        <v>0</v>
      </c>
      <c r="AA55" s="123"/>
      <c r="AB55" s="125">
        <v>8736</v>
      </c>
      <c r="AC55" s="117"/>
      <c r="AD55" s="118">
        <f t="shared" si="0"/>
        <v>1321.5</v>
      </c>
      <c r="AE55" s="118"/>
      <c r="AF55" s="118" t="e">
        <f>#REF!-AE55</f>
        <v>#REF!</v>
      </c>
      <c r="AG55" s="118"/>
      <c r="AH55" s="118" t="e">
        <f>#REF!-AG55</f>
        <v>#REF!</v>
      </c>
      <c r="AI55" s="118"/>
      <c r="AJ55" s="119"/>
      <c r="AK55" s="120">
        <f t="shared" si="6"/>
        <v>8736</v>
      </c>
    </row>
    <row r="56" spans="1:37" s="109" customFormat="1" ht="13.5" x14ac:dyDescent="0.25">
      <c r="A56" s="121">
        <v>42</v>
      </c>
      <c r="B56" s="122" t="s">
        <v>121</v>
      </c>
      <c r="C56" s="122">
        <v>26</v>
      </c>
      <c r="D56" s="122">
        <v>3</v>
      </c>
      <c r="E56" s="123"/>
      <c r="F56" s="123">
        <v>1650</v>
      </c>
      <c r="G56" s="123">
        <f>200+94</f>
        <v>294</v>
      </c>
      <c r="H56" s="118">
        <v>463</v>
      </c>
      <c r="I56" s="118">
        <f>987-94</f>
        <v>893</v>
      </c>
      <c r="J56" s="118"/>
      <c r="K56" s="123">
        <f t="shared" si="1"/>
        <v>294</v>
      </c>
      <c r="L56" s="124">
        <f t="shared" si="2"/>
        <v>231.5</v>
      </c>
      <c r="M56" s="124">
        <f t="shared" si="2"/>
        <v>446.5</v>
      </c>
      <c r="N56" s="124">
        <f t="shared" si="2"/>
        <v>0</v>
      </c>
      <c r="O56" s="124">
        <f t="shared" si="3"/>
        <v>972</v>
      </c>
      <c r="P56" s="124">
        <f t="shared" si="4"/>
        <v>231.5</v>
      </c>
      <c r="Q56" s="124">
        <f t="shared" si="4"/>
        <v>446.5</v>
      </c>
      <c r="R56" s="124">
        <f t="shared" si="4"/>
        <v>0</v>
      </c>
      <c r="S56" s="118">
        <f t="shared" si="5"/>
        <v>678</v>
      </c>
      <c r="T56" s="123"/>
      <c r="U56" s="123"/>
      <c r="V56" s="118">
        <v>0</v>
      </c>
      <c r="W56" s="123">
        <v>5675</v>
      </c>
      <c r="X56" s="123"/>
      <c r="Y56" s="123">
        <v>5675</v>
      </c>
      <c r="Z56" s="118">
        <v>0</v>
      </c>
      <c r="AA56" s="123"/>
      <c r="AB56" s="125">
        <v>7325</v>
      </c>
      <c r="AC56" s="117">
        <v>12</v>
      </c>
      <c r="AD56" s="118">
        <f t="shared" si="0"/>
        <v>960</v>
      </c>
      <c r="AE56" s="118"/>
      <c r="AF56" s="118" t="e">
        <f>#REF!-AE56</f>
        <v>#REF!</v>
      </c>
      <c r="AG56" s="118">
        <v>12</v>
      </c>
      <c r="AH56" s="118" t="e">
        <f>#REF!-AG56</f>
        <v>#REF!</v>
      </c>
      <c r="AI56" s="118"/>
      <c r="AJ56" s="119"/>
      <c r="AK56" s="120">
        <f t="shared" si="6"/>
        <v>7325</v>
      </c>
    </row>
    <row r="57" spans="1:37" s="109" customFormat="1" ht="13.5" x14ac:dyDescent="0.25">
      <c r="A57" s="121">
        <v>43</v>
      </c>
      <c r="B57" s="122" t="s">
        <v>121</v>
      </c>
      <c r="C57" s="122">
        <v>26</v>
      </c>
      <c r="D57" s="122">
        <v>4</v>
      </c>
      <c r="E57" s="123">
        <f>57+50+141.5+24.5+518.3</f>
        <v>791.3</v>
      </c>
      <c r="F57" s="123">
        <f>3270+E57</f>
        <v>4061.3</v>
      </c>
      <c r="G57" s="123">
        <v>1371.3</v>
      </c>
      <c r="H57" s="118">
        <v>687</v>
      </c>
      <c r="I57" s="118">
        <f>1549-210</f>
        <v>1339</v>
      </c>
      <c r="J57" s="118">
        <v>664</v>
      </c>
      <c r="K57" s="123">
        <f t="shared" si="1"/>
        <v>1371.3</v>
      </c>
      <c r="L57" s="124">
        <f t="shared" si="2"/>
        <v>343.5</v>
      </c>
      <c r="M57" s="124">
        <f t="shared" si="2"/>
        <v>669.5</v>
      </c>
      <c r="N57" s="124">
        <f t="shared" si="2"/>
        <v>332</v>
      </c>
      <c r="O57" s="124">
        <f t="shared" si="3"/>
        <v>2716.3</v>
      </c>
      <c r="P57" s="124">
        <f t="shared" si="4"/>
        <v>343.5</v>
      </c>
      <c r="Q57" s="124">
        <f t="shared" si="4"/>
        <v>669.5</v>
      </c>
      <c r="R57" s="124">
        <f t="shared" si="4"/>
        <v>332</v>
      </c>
      <c r="S57" s="118">
        <f t="shared" si="5"/>
        <v>1345</v>
      </c>
      <c r="T57" s="123"/>
      <c r="U57" s="123"/>
      <c r="V57" s="118">
        <v>0</v>
      </c>
      <c r="W57" s="123">
        <v>9348</v>
      </c>
      <c r="X57" s="123"/>
      <c r="Y57" s="123">
        <f>9348-E57</f>
        <v>8556.7000000000007</v>
      </c>
      <c r="Z57" s="118">
        <v>0</v>
      </c>
      <c r="AA57" s="123"/>
      <c r="AB57" s="125">
        <v>12618</v>
      </c>
      <c r="AC57" s="117"/>
      <c r="AD57" s="118">
        <f t="shared" si="0"/>
        <v>2716.3</v>
      </c>
      <c r="AE57" s="118"/>
      <c r="AF57" s="118" t="e">
        <f>#REF!-AE57</f>
        <v>#REF!</v>
      </c>
      <c r="AG57" s="118"/>
      <c r="AH57" s="118" t="e">
        <f>#REF!-AG57</f>
        <v>#REF!</v>
      </c>
      <c r="AI57" s="118"/>
      <c r="AJ57" s="119"/>
      <c r="AK57" s="120">
        <f t="shared" si="6"/>
        <v>13409.3</v>
      </c>
    </row>
    <row r="58" spans="1:37" s="109" customFormat="1" ht="14.25" thickBot="1" x14ac:dyDescent="0.3">
      <c r="A58" s="129">
        <v>44</v>
      </c>
      <c r="B58" s="130" t="s">
        <v>121</v>
      </c>
      <c r="C58" s="130">
        <v>28</v>
      </c>
      <c r="D58" s="130"/>
      <c r="E58" s="131">
        <f>120.92+60.55</f>
        <v>181.47</v>
      </c>
      <c r="F58" s="131">
        <f>3980+E58</f>
        <v>4161.47</v>
      </c>
      <c r="G58" s="131">
        <v>735.47</v>
      </c>
      <c r="H58" s="98">
        <v>1418</v>
      </c>
      <c r="I58" s="98">
        <f>2252-R58-244</f>
        <v>2008</v>
      </c>
      <c r="J58" s="98"/>
      <c r="K58" s="131">
        <f t="shared" si="1"/>
        <v>735.47</v>
      </c>
      <c r="L58" s="100">
        <f t="shared" si="2"/>
        <v>709</v>
      </c>
      <c r="M58" s="100">
        <f t="shared" si="2"/>
        <v>1004</v>
      </c>
      <c r="N58" s="100">
        <f t="shared" si="2"/>
        <v>0</v>
      </c>
      <c r="O58" s="100">
        <f t="shared" si="3"/>
        <v>2448.4700000000003</v>
      </c>
      <c r="P58" s="100">
        <f t="shared" si="4"/>
        <v>709</v>
      </c>
      <c r="Q58" s="100">
        <f t="shared" si="4"/>
        <v>1004</v>
      </c>
      <c r="R58" s="100">
        <f t="shared" si="4"/>
        <v>0</v>
      </c>
      <c r="S58" s="98">
        <f t="shared" si="5"/>
        <v>1713</v>
      </c>
      <c r="T58" s="131">
        <f>276+121+387</f>
        <v>784</v>
      </c>
      <c r="U58" s="131"/>
      <c r="V58" s="98">
        <v>784</v>
      </c>
      <c r="W58" s="131">
        <v>15285</v>
      </c>
      <c r="X58" s="131"/>
      <c r="Y58" s="131">
        <f>15285-E58</f>
        <v>15103.53</v>
      </c>
      <c r="Z58" s="98">
        <v>0</v>
      </c>
      <c r="AA58" s="131">
        <v>16.5</v>
      </c>
      <c r="AB58" s="132">
        <v>20049</v>
      </c>
      <c r="AC58" s="133"/>
      <c r="AD58" s="118">
        <f t="shared" si="0"/>
        <v>2448.4700000000003</v>
      </c>
      <c r="AE58" s="98"/>
      <c r="AF58" s="118" t="e">
        <f>#REF!-AE58</f>
        <v>#REF!</v>
      </c>
      <c r="AG58" s="134">
        <v>24</v>
      </c>
      <c r="AH58" s="118" t="e">
        <f>#REF!-AG58</f>
        <v>#REF!</v>
      </c>
      <c r="AI58" s="118">
        <v>17</v>
      </c>
      <c r="AJ58" s="119"/>
      <c r="AK58" s="120">
        <f t="shared" si="6"/>
        <v>20230.47</v>
      </c>
    </row>
    <row r="59" spans="1:37" s="147" customFormat="1" ht="14.25" thickBot="1" x14ac:dyDescent="0.3">
      <c r="A59" s="135" t="s">
        <v>123</v>
      </c>
      <c r="B59" s="136"/>
      <c r="C59" s="136"/>
      <c r="D59" s="136"/>
      <c r="E59" s="137">
        <f>SUM(E15:E58)</f>
        <v>5267.2300000000005</v>
      </c>
      <c r="F59" s="138">
        <f>SUM(F15:F58)</f>
        <v>80605.23000000001</v>
      </c>
      <c r="G59" s="139">
        <f t="shared" ref="G59:AI59" si="7">SUM(G15:G58)</f>
        <v>18631.23</v>
      </c>
      <c r="H59" s="140">
        <f t="shared" si="7"/>
        <v>12609</v>
      </c>
      <c r="I59" s="140">
        <f t="shared" si="7"/>
        <v>42254</v>
      </c>
      <c r="J59" s="140">
        <f t="shared" si="7"/>
        <v>7111</v>
      </c>
      <c r="K59" s="139">
        <f t="shared" si="7"/>
        <v>18631.23</v>
      </c>
      <c r="L59" s="141">
        <f t="shared" si="7"/>
        <v>6304.5</v>
      </c>
      <c r="M59" s="141">
        <f t="shared" si="7"/>
        <v>21127</v>
      </c>
      <c r="N59" s="141">
        <f t="shared" si="7"/>
        <v>3555.5</v>
      </c>
      <c r="O59" s="141">
        <f t="shared" si="7"/>
        <v>49618.23000000001</v>
      </c>
      <c r="P59" s="141">
        <f t="shared" si="7"/>
        <v>6304.5</v>
      </c>
      <c r="Q59" s="141">
        <f t="shared" si="7"/>
        <v>21127</v>
      </c>
      <c r="R59" s="141">
        <f t="shared" si="7"/>
        <v>3555.5</v>
      </c>
      <c r="S59" s="140">
        <f t="shared" si="7"/>
        <v>30987</v>
      </c>
      <c r="T59" s="139">
        <f t="shared" si="7"/>
        <v>16142</v>
      </c>
      <c r="U59" s="139">
        <f t="shared" si="7"/>
        <v>0</v>
      </c>
      <c r="V59" s="140">
        <f t="shared" si="7"/>
        <v>16142</v>
      </c>
      <c r="W59" s="139">
        <f t="shared" si="7"/>
        <v>233547</v>
      </c>
      <c r="X59" s="139">
        <f t="shared" si="7"/>
        <v>0</v>
      </c>
      <c r="Y59" s="139">
        <f t="shared" si="7"/>
        <v>230808.77000000002</v>
      </c>
      <c r="Z59" s="140">
        <f t="shared" si="7"/>
        <v>2424</v>
      </c>
      <c r="AA59" s="139">
        <f t="shared" si="7"/>
        <v>259</v>
      </c>
      <c r="AB59" s="142">
        <f t="shared" si="7"/>
        <v>329980</v>
      </c>
      <c r="AC59" s="143">
        <f t="shared" si="7"/>
        <v>96</v>
      </c>
      <c r="AD59" s="144">
        <f t="shared" si="7"/>
        <v>49522.23000000001</v>
      </c>
      <c r="AE59" s="144">
        <f t="shared" si="7"/>
        <v>0</v>
      </c>
      <c r="AF59" s="144" t="e">
        <f t="shared" si="7"/>
        <v>#REF!</v>
      </c>
      <c r="AG59" s="144">
        <f t="shared" si="7"/>
        <v>750</v>
      </c>
      <c r="AH59" s="145" t="e">
        <f t="shared" si="7"/>
        <v>#REF!</v>
      </c>
      <c r="AI59" s="144">
        <f t="shared" si="7"/>
        <v>262</v>
      </c>
      <c r="AJ59" s="146"/>
      <c r="AK59" s="120">
        <f t="shared" si="6"/>
        <v>330294.23</v>
      </c>
    </row>
    <row r="60" spans="1:37" s="147" customFormat="1" ht="14.25" thickBot="1" x14ac:dyDescent="0.3">
      <c r="A60" s="148" t="s">
        <v>124</v>
      </c>
      <c r="B60" s="149"/>
      <c r="C60" s="150"/>
      <c r="D60" s="151"/>
      <c r="E60" s="139"/>
      <c r="F60" s="139">
        <f>G60+H60+I60+J60</f>
        <v>0</v>
      </c>
      <c r="G60" s="152">
        <v>0</v>
      </c>
      <c r="H60" s="153">
        <v>0</v>
      </c>
      <c r="I60" s="153"/>
      <c r="J60" s="153">
        <v>0</v>
      </c>
      <c r="K60" s="152">
        <v>0</v>
      </c>
      <c r="L60" s="154">
        <v>0</v>
      </c>
      <c r="M60" s="154">
        <f t="shared" si="2"/>
        <v>0</v>
      </c>
      <c r="N60" s="154">
        <f t="shared" si="2"/>
        <v>0</v>
      </c>
      <c r="O60" s="154">
        <f t="shared" si="3"/>
        <v>0</v>
      </c>
      <c r="P60" s="154">
        <f t="shared" si="4"/>
        <v>0</v>
      </c>
      <c r="Q60" s="154">
        <f t="shared" si="4"/>
        <v>0</v>
      </c>
      <c r="R60" s="154">
        <f t="shared" si="4"/>
        <v>0</v>
      </c>
      <c r="S60" s="153">
        <f t="shared" si="5"/>
        <v>0</v>
      </c>
      <c r="T60" s="139"/>
      <c r="U60" s="139"/>
      <c r="V60" s="140">
        <v>1558</v>
      </c>
      <c r="W60" s="139"/>
      <c r="X60" s="139"/>
      <c r="Y60" s="139">
        <v>42</v>
      </c>
      <c r="Z60" s="140">
        <v>2424</v>
      </c>
      <c r="AA60" s="139"/>
      <c r="AB60" s="142">
        <f>F60+V60+Y60+Z60</f>
        <v>4024</v>
      </c>
      <c r="AC60" s="86"/>
      <c r="AD60" s="86"/>
      <c r="AE60" s="86"/>
      <c r="AF60" s="86"/>
      <c r="AG60" s="86"/>
      <c r="AH60" s="86"/>
      <c r="AI60" s="86"/>
      <c r="AJ60" s="155"/>
      <c r="AK60" s="120"/>
    </row>
    <row r="61" spans="1:37" s="147" customFormat="1" ht="14.25" thickBot="1" x14ac:dyDescent="0.3">
      <c r="A61" s="156"/>
      <c r="B61" s="157"/>
      <c r="C61" s="157"/>
      <c r="D61" s="157"/>
      <c r="E61" s="59"/>
      <c r="F61" s="59"/>
      <c r="G61" s="59"/>
      <c r="H61" s="86"/>
      <c r="I61" s="86"/>
      <c r="J61" s="86"/>
      <c r="K61" s="83"/>
      <c r="L61" s="79"/>
      <c r="M61" s="79"/>
      <c r="N61" s="79"/>
      <c r="O61" s="79"/>
      <c r="P61" s="79"/>
      <c r="Q61" s="79"/>
      <c r="R61" s="79"/>
      <c r="S61" s="76"/>
      <c r="T61" s="59"/>
      <c r="U61" s="59"/>
      <c r="V61" s="86"/>
      <c r="W61" s="59"/>
      <c r="X61" s="59"/>
      <c r="Y61" s="59"/>
      <c r="Z61" s="86"/>
      <c r="AA61" s="59"/>
      <c r="AB61" s="158"/>
      <c r="AC61" s="86"/>
      <c r="AD61" s="86"/>
      <c r="AE61" s="86"/>
      <c r="AF61" s="86"/>
      <c r="AG61" s="86"/>
      <c r="AH61" s="86"/>
      <c r="AI61" s="86"/>
      <c r="AJ61" s="155"/>
      <c r="AK61" s="120"/>
    </row>
    <row r="62" spans="1:37" s="109" customFormat="1" ht="14.25" thickBot="1" x14ac:dyDescent="0.3">
      <c r="A62" s="159"/>
      <c r="B62" s="676" t="s">
        <v>125</v>
      </c>
      <c r="C62" s="676"/>
      <c r="D62" s="676"/>
      <c r="E62" s="105"/>
      <c r="F62" s="105"/>
      <c r="G62" s="105"/>
      <c r="H62" s="106"/>
      <c r="I62" s="106"/>
      <c r="J62" s="106"/>
      <c r="K62" s="105"/>
      <c r="L62" s="107"/>
      <c r="M62" s="107"/>
      <c r="N62" s="107"/>
      <c r="O62" s="107"/>
      <c r="P62" s="107"/>
      <c r="Q62" s="107"/>
      <c r="R62" s="107"/>
      <c r="S62" s="106"/>
      <c r="T62" s="105"/>
      <c r="U62" s="105"/>
      <c r="V62" s="106"/>
      <c r="W62" s="105"/>
      <c r="X62" s="105"/>
      <c r="Y62" s="105"/>
      <c r="Z62" s="106"/>
      <c r="AA62" s="105"/>
      <c r="AB62" s="108"/>
      <c r="AC62" s="76"/>
      <c r="AD62" s="76"/>
      <c r="AE62" s="76"/>
      <c r="AF62" s="76"/>
      <c r="AG62" s="76"/>
      <c r="AH62" s="76"/>
      <c r="AI62" s="76"/>
      <c r="AK62" s="120">
        <f t="shared" ref="AK62:AK89" si="8">O62+S62+T62+W62</f>
        <v>0</v>
      </c>
    </row>
    <row r="63" spans="1:37" s="109" customFormat="1" ht="13.5" x14ac:dyDescent="0.25">
      <c r="A63" s="111">
        <v>1</v>
      </c>
      <c r="B63" s="112" t="s">
        <v>117</v>
      </c>
      <c r="C63" s="112" t="s">
        <v>126</v>
      </c>
      <c r="D63" s="112"/>
      <c r="E63" s="160">
        <f>411.32</f>
        <v>411.32</v>
      </c>
      <c r="F63" s="160">
        <f>2050+E63</f>
        <v>2461.3200000000002</v>
      </c>
      <c r="G63" s="160">
        <v>1046.32</v>
      </c>
      <c r="H63" s="161">
        <v>33</v>
      </c>
      <c r="I63" s="161">
        <f>372-89-283+89</f>
        <v>89</v>
      </c>
      <c r="J63" s="161">
        <f>1487-194</f>
        <v>1293</v>
      </c>
      <c r="K63" s="113">
        <f t="shared" si="1"/>
        <v>1046.32</v>
      </c>
      <c r="L63" s="115">
        <f t="shared" si="2"/>
        <v>16.5</v>
      </c>
      <c r="M63" s="115">
        <f t="shared" si="2"/>
        <v>44.5</v>
      </c>
      <c r="N63" s="115">
        <f t="shared" si="2"/>
        <v>646.5</v>
      </c>
      <c r="O63" s="115">
        <f t="shared" si="3"/>
        <v>1753.82</v>
      </c>
      <c r="P63" s="115">
        <f t="shared" si="4"/>
        <v>16.5</v>
      </c>
      <c r="Q63" s="115">
        <f t="shared" si="4"/>
        <v>44.5</v>
      </c>
      <c r="R63" s="115">
        <f t="shared" si="4"/>
        <v>646.5</v>
      </c>
      <c r="S63" s="114">
        <f t="shared" si="5"/>
        <v>707.5</v>
      </c>
      <c r="T63" s="160">
        <v>298</v>
      </c>
      <c r="U63" s="160"/>
      <c r="V63" s="161">
        <v>298</v>
      </c>
      <c r="W63" s="160">
        <v>7938</v>
      </c>
      <c r="X63" s="160"/>
      <c r="Y63" s="160">
        <f>7938-E63</f>
        <v>7526.68</v>
      </c>
      <c r="Z63" s="161">
        <v>0</v>
      </c>
      <c r="AA63" s="113">
        <v>10.5</v>
      </c>
      <c r="AB63" s="162">
        <v>10286</v>
      </c>
      <c r="AC63" s="117"/>
      <c r="AD63" s="118">
        <f t="shared" ref="AD63:AD88" si="9">O63-AC63</f>
        <v>1753.82</v>
      </c>
      <c r="AE63" s="118"/>
      <c r="AF63" s="118" t="e">
        <f>#REF!-AE63</f>
        <v>#REF!</v>
      </c>
      <c r="AG63" s="118">
        <v>30</v>
      </c>
      <c r="AH63" s="118" t="e">
        <f>#REF!-AG63</f>
        <v>#REF!</v>
      </c>
      <c r="AI63" s="118">
        <v>11</v>
      </c>
      <c r="AJ63" s="119"/>
      <c r="AK63" s="120">
        <f t="shared" si="8"/>
        <v>10697.32</v>
      </c>
    </row>
    <row r="64" spans="1:37" s="109" customFormat="1" ht="13.5" x14ac:dyDescent="0.25">
      <c r="A64" s="121">
        <v>2</v>
      </c>
      <c r="B64" s="122" t="s">
        <v>119</v>
      </c>
      <c r="C64" s="122" t="s">
        <v>127</v>
      </c>
      <c r="D64" s="122">
        <v>1</v>
      </c>
      <c r="E64" s="160"/>
      <c r="F64" s="160">
        <v>1471</v>
      </c>
      <c r="G64" s="160">
        <f>87+130</f>
        <v>217</v>
      </c>
      <c r="H64" s="161">
        <v>34</v>
      </c>
      <c r="I64" s="161">
        <f>436-130</f>
        <v>306</v>
      </c>
      <c r="J64" s="161">
        <v>914</v>
      </c>
      <c r="K64" s="123">
        <f t="shared" si="1"/>
        <v>217</v>
      </c>
      <c r="L64" s="124">
        <f t="shared" si="2"/>
        <v>17</v>
      </c>
      <c r="M64" s="124">
        <f t="shared" si="2"/>
        <v>153</v>
      </c>
      <c r="N64" s="124">
        <f t="shared" si="2"/>
        <v>457</v>
      </c>
      <c r="O64" s="124">
        <f t="shared" si="3"/>
        <v>844</v>
      </c>
      <c r="P64" s="124">
        <f t="shared" si="4"/>
        <v>17</v>
      </c>
      <c r="Q64" s="124">
        <f t="shared" si="4"/>
        <v>153</v>
      </c>
      <c r="R64" s="124">
        <f t="shared" si="4"/>
        <v>457</v>
      </c>
      <c r="S64" s="118">
        <f t="shared" si="5"/>
        <v>627</v>
      </c>
      <c r="T64" s="160">
        <v>421</v>
      </c>
      <c r="U64" s="160"/>
      <c r="V64" s="161">
        <v>421</v>
      </c>
      <c r="W64" s="160">
        <v>2877</v>
      </c>
      <c r="X64" s="160"/>
      <c r="Y64" s="160">
        <v>2877</v>
      </c>
      <c r="Z64" s="161">
        <v>4</v>
      </c>
      <c r="AA64" s="123">
        <v>14</v>
      </c>
      <c r="AB64" s="162">
        <v>4773</v>
      </c>
      <c r="AC64" s="117"/>
      <c r="AD64" s="118">
        <f t="shared" si="9"/>
        <v>844</v>
      </c>
      <c r="AE64" s="118"/>
      <c r="AF64" s="118" t="e">
        <f>#REF!-AE64</f>
        <v>#REF!</v>
      </c>
      <c r="AG64" s="118">
        <v>36</v>
      </c>
      <c r="AH64" s="118" t="e">
        <f>#REF!-AG64</f>
        <v>#REF!</v>
      </c>
      <c r="AI64" s="118">
        <v>14</v>
      </c>
      <c r="AJ64" s="119"/>
      <c r="AK64" s="120">
        <f t="shared" si="8"/>
        <v>4769</v>
      </c>
    </row>
    <row r="65" spans="1:37" s="109" customFormat="1" ht="13.5" x14ac:dyDescent="0.25">
      <c r="A65" s="121">
        <v>3</v>
      </c>
      <c r="B65" s="122" t="s">
        <v>119</v>
      </c>
      <c r="C65" s="122" t="s">
        <v>127</v>
      </c>
      <c r="D65" s="122">
        <v>2</v>
      </c>
      <c r="E65" s="160">
        <f>108.92</f>
        <v>108.92</v>
      </c>
      <c r="F65" s="160">
        <f>1390+E65</f>
        <v>1498.92</v>
      </c>
      <c r="G65" s="160">
        <v>263.92</v>
      </c>
      <c r="H65" s="161">
        <v>115</v>
      </c>
      <c r="I65" s="161">
        <f>956-79</f>
        <v>877</v>
      </c>
      <c r="J65" s="161">
        <v>243</v>
      </c>
      <c r="K65" s="123">
        <f t="shared" si="1"/>
        <v>263.92</v>
      </c>
      <c r="L65" s="124">
        <f t="shared" si="2"/>
        <v>57.5</v>
      </c>
      <c r="M65" s="124">
        <f t="shared" si="2"/>
        <v>438.5</v>
      </c>
      <c r="N65" s="124">
        <f t="shared" si="2"/>
        <v>121.5</v>
      </c>
      <c r="O65" s="124">
        <f t="shared" si="3"/>
        <v>881.42000000000007</v>
      </c>
      <c r="P65" s="124">
        <f t="shared" si="4"/>
        <v>57.5</v>
      </c>
      <c r="Q65" s="124">
        <f t="shared" si="4"/>
        <v>438.5</v>
      </c>
      <c r="R65" s="124">
        <f t="shared" si="4"/>
        <v>121.5</v>
      </c>
      <c r="S65" s="118">
        <f t="shared" si="5"/>
        <v>617.5</v>
      </c>
      <c r="T65" s="160">
        <v>146</v>
      </c>
      <c r="U65" s="160"/>
      <c r="V65" s="161">
        <v>146</v>
      </c>
      <c r="W65" s="160">
        <v>2384</v>
      </c>
      <c r="X65" s="160"/>
      <c r="Y65" s="160">
        <f>2384-E65</f>
        <v>2275.08</v>
      </c>
      <c r="Z65" s="161">
        <v>0</v>
      </c>
      <c r="AA65" s="123"/>
      <c r="AB65" s="162">
        <v>3920</v>
      </c>
      <c r="AC65" s="117"/>
      <c r="AD65" s="118">
        <f t="shared" si="9"/>
        <v>881.42000000000007</v>
      </c>
      <c r="AE65" s="118"/>
      <c r="AF65" s="118" t="e">
        <f>#REF!-AE65</f>
        <v>#REF!</v>
      </c>
      <c r="AG65" s="118">
        <v>54</v>
      </c>
      <c r="AH65" s="118" t="e">
        <f>#REF!-AG65</f>
        <v>#REF!</v>
      </c>
      <c r="AI65" s="118"/>
      <c r="AJ65" s="119"/>
      <c r="AK65" s="120">
        <f t="shared" si="8"/>
        <v>4028.92</v>
      </c>
    </row>
    <row r="66" spans="1:37" s="109" customFormat="1" ht="13.5" x14ac:dyDescent="0.25">
      <c r="A66" s="121">
        <v>4</v>
      </c>
      <c r="B66" s="122" t="s">
        <v>119</v>
      </c>
      <c r="C66" s="122" t="s">
        <v>127</v>
      </c>
      <c r="D66" s="122">
        <v>3</v>
      </c>
      <c r="E66" s="160"/>
      <c r="F66" s="160">
        <v>653</v>
      </c>
      <c r="G66" s="160">
        <f>76</f>
        <v>76</v>
      </c>
      <c r="H66" s="161">
        <v>230</v>
      </c>
      <c r="I66" s="161">
        <v>347</v>
      </c>
      <c r="J66" s="161"/>
      <c r="K66" s="123">
        <f t="shared" si="1"/>
        <v>76</v>
      </c>
      <c r="L66" s="124">
        <f t="shared" si="2"/>
        <v>115</v>
      </c>
      <c r="M66" s="124">
        <f t="shared" si="2"/>
        <v>173.5</v>
      </c>
      <c r="N66" s="124">
        <f t="shared" si="2"/>
        <v>0</v>
      </c>
      <c r="O66" s="124">
        <f t="shared" si="3"/>
        <v>364.5</v>
      </c>
      <c r="P66" s="124">
        <f t="shared" si="4"/>
        <v>115</v>
      </c>
      <c r="Q66" s="124">
        <f t="shared" si="4"/>
        <v>173.5</v>
      </c>
      <c r="R66" s="124">
        <f t="shared" si="4"/>
        <v>0</v>
      </c>
      <c r="S66" s="118">
        <f t="shared" si="5"/>
        <v>288.5</v>
      </c>
      <c r="T66" s="160"/>
      <c r="U66" s="160"/>
      <c r="V66" s="161">
        <v>0</v>
      </c>
      <c r="W66" s="160">
        <v>1719</v>
      </c>
      <c r="X66" s="160"/>
      <c r="Y66" s="160">
        <v>1719</v>
      </c>
      <c r="Z66" s="161">
        <v>0</v>
      </c>
      <c r="AA66" s="123"/>
      <c r="AB66" s="162">
        <v>2372</v>
      </c>
      <c r="AC66" s="117"/>
      <c r="AD66" s="118">
        <f t="shared" si="9"/>
        <v>364.5</v>
      </c>
      <c r="AE66" s="118"/>
      <c r="AF66" s="118" t="e">
        <f>#REF!-AE66</f>
        <v>#REF!</v>
      </c>
      <c r="AG66" s="118"/>
      <c r="AH66" s="118" t="e">
        <f>#REF!-AG66</f>
        <v>#REF!</v>
      </c>
      <c r="AI66" s="118"/>
      <c r="AJ66" s="119"/>
      <c r="AK66" s="120">
        <f t="shared" si="8"/>
        <v>2372</v>
      </c>
    </row>
    <row r="67" spans="1:37" s="109" customFormat="1" ht="13.5" x14ac:dyDescent="0.25">
      <c r="A67" s="121">
        <v>5</v>
      </c>
      <c r="B67" s="122" t="s">
        <v>119</v>
      </c>
      <c r="C67" s="122" t="s">
        <v>127</v>
      </c>
      <c r="D67" s="122">
        <v>4</v>
      </c>
      <c r="E67" s="160">
        <f>78.3+66.78+664</f>
        <v>809.07999999999993</v>
      </c>
      <c r="F67" s="160">
        <f>725+E67</f>
        <v>1534.08</v>
      </c>
      <c r="G67" s="160">
        <v>1008.08</v>
      </c>
      <c r="H67" s="161">
        <v>58</v>
      </c>
      <c r="I67" s="161">
        <f>287-123</f>
        <v>164</v>
      </c>
      <c r="J67" s="161">
        <v>304</v>
      </c>
      <c r="K67" s="123">
        <f t="shared" si="1"/>
        <v>1008.08</v>
      </c>
      <c r="L67" s="124">
        <f t="shared" si="2"/>
        <v>29</v>
      </c>
      <c r="M67" s="124">
        <f t="shared" si="2"/>
        <v>82</v>
      </c>
      <c r="N67" s="124">
        <f t="shared" si="2"/>
        <v>152</v>
      </c>
      <c r="O67" s="124">
        <f t="shared" si="3"/>
        <v>1271.08</v>
      </c>
      <c r="P67" s="124">
        <f t="shared" si="4"/>
        <v>29</v>
      </c>
      <c r="Q67" s="124">
        <f t="shared" si="4"/>
        <v>82</v>
      </c>
      <c r="R67" s="124">
        <f t="shared" si="4"/>
        <v>152</v>
      </c>
      <c r="S67" s="118">
        <f t="shared" si="5"/>
        <v>263</v>
      </c>
      <c r="T67" s="160"/>
      <c r="U67" s="160"/>
      <c r="V67" s="161">
        <v>0</v>
      </c>
      <c r="W67" s="160">
        <v>2183</v>
      </c>
      <c r="X67" s="160"/>
      <c r="Y67" s="160">
        <f>2183-E67</f>
        <v>1373.92</v>
      </c>
      <c r="Z67" s="161">
        <v>0</v>
      </c>
      <c r="AA67" s="123">
        <v>3.5</v>
      </c>
      <c r="AB67" s="162">
        <v>2908</v>
      </c>
      <c r="AC67" s="117"/>
      <c r="AD67" s="118">
        <f t="shared" si="9"/>
        <v>1271.08</v>
      </c>
      <c r="AE67" s="118"/>
      <c r="AF67" s="118" t="e">
        <f>#REF!-AE67</f>
        <v>#REF!</v>
      </c>
      <c r="AG67" s="118"/>
      <c r="AH67" s="118" t="e">
        <f>#REF!-AG67</f>
        <v>#REF!</v>
      </c>
      <c r="AI67" s="118">
        <v>4</v>
      </c>
      <c r="AJ67" s="119"/>
      <c r="AK67" s="120">
        <f t="shared" si="8"/>
        <v>3717.08</v>
      </c>
    </row>
    <row r="68" spans="1:37" s="109" customFormat="1" ht="13.5" x14ac:dyDescent="0.25">
      <c r="A68" s="121">
        <v>6</v>
      </c>
      <c r="B68" s="122" t="s">
        <v>119</v>
      </c>
      <c r="C68" s="122">
        <v>37</v>
      </c>
      <c r="D68" s="122"/>
      <c r="E68" s="160">
        <f>59.18</f>
        <v>59.18</v>
      </c>
      <c r="F68" s="160">
        <f>2170+E68</f>
        <v>2229.1799999999998</v>
      </c>
      <c r="G68" s="160">
        <v>259.18</v>
      </c>
      <c r="H68" s="161">
        <v>98</v>
      </c>
      <c r="I68" s="161">
        <v>375</v>
      </c>
      <c r="J68" s="161">
        <v>1497</v>
      </c>
      <c r="K68" s="123">
        <f t="shared" si="1"/>
        <v>259.18</v>
      </c>
      <c r="L68" s="124">
        <f t="shared" si="2"/>
        <v>49</v>
      </c>
      <c r="M68" s="124">
        <f t="shared" si="2"/>
        <v>187.5</v>
      </c>
      <c r="N68" s="124">
        <f t="shared" si="2"/>
        <v>748.5</v>
      </c>
      <c r="O68" s="124">
        <f t="shared" si="3"/>
        <v>1244.18</v>
      </c>
      <c r="P68" s="124">
        <f t="shared" si="4"/>
        <v>49</v>
      </c>
      <c r="Q68" s="124">
        <f t="shared" si="4"/>
        <v>187.5</v>
      </c>
      <c r="R68" s="124">
        <f t="shared" si="4"/>
        <v>748.5</v>
      </c>
      <c r="S68" s="118">
        <f t="shared" si="5"/>
        <v>985</v>
      </c>
      <c r="T68" s="160"/>
      <c r="U68" s="160"/>
      <c r="V68" s="161">
        <v>0</v>
      </c>
      <c r="W68" s="160">
        <v>6115</v>
      </c>
      <c r="X68" s="160"/>
      <c r="Y68" s="160">
        <f>6115-E68</f>
        <v>6055.82</v>
      </c>
      <c r="Z68" s="161">
        <v>0</v>
      </c>
      <c r="AA68" s="123"/>
      <c r="AB68" s="162">
        <v>8285</v>
      </c>
      <c r="AC68" s="117"/>
      <c r="AD68" s="118">
        <f t="shared" si="9"/>
        <v>1244.18</v>
      </c>
      <c r="AE68" s="118"/>
      <c r="AF68" s="118" t="e">
        <f>#REF!-AE68</f>
        <v>#REF!</v>
      </c>
      <c r="AG68" s="118"/>
      <c r="AH68" s="118" t="e">
        <f>#REF!-AG68</f>
        <v>#REF!</v>
      </c>
      <c r="AI68" s="118"/>
      <c r="AJ68" s="119"/>
      <c r="AK68" s="120">
        <f t="shared" si="8"/>
        <v>8344.18</v>
      </c>
    </row>
    <row r="69" spans="1:37" s="109" customFormat="1" ht="13.5" x14ac:dyDescent="0.25">
      <c r="A69" s="121">
        <v>7</v>
      </c>
      <c r="B69" s="122" t="s">
        <v>119</v>
      </c>
      <c r="C69" s="122">
        <v>39</v>
      </c>
      <c r="D69" s="122">
        <v>1</v>
      </c>
      <c r="E69" s="160"/>
      <c r="F69" s="160">
        <v>533</v>
      </c>
      <c r="G69" s="160">
        <f>68</f>
        <v>68</v>
      </c>
      <c r="H69" s="161">
        <v>69</v>
      </c>
      <c r="I69" s="161">
        <f>72-50+50</f>
        <v>72</v>
      </c>
      <c r="J69" s="161">
        <v>324</v>
      </c>
      <c r="K69" s="123">
        <f t="shared" si="1"/>
        <v>68</v>
      </c>
      <c r="L69" s="124">
        <f t="shared" si="2"/>
        <v>34.5</v>
      </c>
      <c r="M69" s="124">
        <f t="shared" si="2"/>
        <v>36</v>
      </c>
      <c r="N69" s="124">
        <f t="shared" si="2"/>
        <v>162</v>
      </c>
      <c r="O69" s="124">
        <f t="shared" si="3"/>
        <v>300.5</v>
      </c>
      <c r="P69" s="124">
        <f t="shared" si="4"/>
        <v>34.5</v>
      </c>
      <c r="Q69" s="124">
        <f t="shared" si="4"/>
        <v>36</v>
      </c>
      <c r="R69" s="124">
        <f t="shared" si="4"/>
        <v>162</v>
      </c>
      <c r="S69" s="118">
        <f t="shared" si="5"/>
        <v>232.5</v>
      </c>
      <c r="T69" s="160">
        <f>46+665</f>
        <v>711</v>
      </c>
      <c r="U69" s="160"/>
      <c r="V69" s="161">
        <v>711</v>
      </c>
      <c r="W69" s="160">
        <v>3725</v>
      </c>
      <c r="X69" s="160"/>
      <c r="Y69" s="160">
        <v>3725</v>
      </c>
      <c r="Z69" s="161">
        <v>0</v>
      </c>
      <c r="AA69" s="123"/>
      <c r="AB69" s="162">
        <v>4969</v>
      </c>
      <c r="AC69" s="117"/>
      <c r="AD69" s="118">
        <f t="shared" si="9"/>
        <v>300.5</v>
      </c>
      <c r="AE69" s="118"/>
      <c r="AF69" s="118" t="e">
        <f>#REF!-AE69</f>
        <v>#REF!</v>
      </c>
      <c r="AG69" s="118"/>
      <c r="AH69" s="118" t="e">
        <f>#REF!-AG69</f>
        <v>#REF!</v>
      </c>
      <c r="AI69" s="118"/>
      <c r="AJ69" s="119"/>
      <c r="AK69" s="120">
        <f t="shared" si="8"/>
        <v>4969</v>
      </c>
    </row>
    <row r="70" spans="1:37" s="109" customFormat="1" ht="13.5" x14ac:dyDescent="0.25">
      <c r="A70" s="121">
        <v>8</v>
      </c>
      <c r="B70" s="122" t="s">
        <v>119</v>
      </c>
      <c r="C70" s="122">
        <v>39</v>
      </c>
      <c r="D70" s="122">
        <v>2</v>
      </c>
      <c r="E70" s="160">
        <f>77.14</f>
        <v>77.14</v>
      </c>
      <c r="F70" s="160">
        <f>1047+E70</f>
        <v>1124.1400000000001</v>
      </c>
      <c r="G70" s="160">
        <v>188.14</v>
      </c>
      <c r="H70" s="161">
        <v>42</v>
      </c>
      <c r="I70" s="161">
        <f>714-96-43+96</f>
        <v>671</v>
      </c>
      <c r="J70" s="161">
        <v>223</v>
      </c>
      <c r="K70" s="123">
        <f t="shared" si="1"/>
        <v>188.14</v>
      </c>
      <c r="L70" s="124">
        <f t="shared" si="2"/>
        <v>21</v>
      </c>
      <c r="M70" s="124">
        <f t="shared" si="2"/>
        <v>335.5</v>
      </c>
      <c r="N70" s="124">
        <f t="shared" si="2"/>
        <v>111.5</v>
      </c>
      <c r="O70" s="124">
        <f t="shared" si="3"/>
        <v>656.14</v>
      </c>
      <c r="P70" s="124">
        <f t="shared" si="4"/>
        <v>21</v>
      </c>
      <c r="Q70" s="124">
        <f t="shared" si="4"/>
        <v>335.5</v>
      </c>
      <c r="R70" s="124">
        <f t="shared" si="4"/>
        <v>111.5</v>
      </c>
      <c r="S70" s="118">
        <f t="shared" si="5"/>
        <v>468</v>
      </c>
      <c r="T70" s="160">
        <f>178</f>
        <v>178</v>
      </c>
      <c r="U70" s="160"/>
      <c r="V70" s="161">
        <v>178</v>
      </c>
      <c r="W70" s="160">
        <v>3942</v>
      </c>
      <c r="X70" s="160"/>
      <c r="Y70" s="160">
        <f>3942-E70</f>
        <v>3864.86</v>
      </c>
      <c r="Z70" s="161">
        <v>0</v>
      </c>
      <c r="AA70" s="123"/>
      <c r="AB70" s="162">
        <v>5167</v>
      </c>
      <c r="AC70" s="117"/>
      <c r="AD70" s="118">
        <f t="shared" si="9"/>
        <v>656.14</v>
      </c>
      <c r="AE70" s="118">
        <v>6</v>
      </c>
      <c r="AF70" s="118" t="e">
        <f>#REF!-AE70</f>
        <v>#REF!</v>
      </c>
      <c r="AG70" s="118"/>
      <c r="AH70" s="118" t="e">
        <f>#REF!-AG70</f>
        <v>#REF!</v>
      </c>
      <c r="AI70" s="118"/>
      <c r="AJ70" s="119"/>
      <c r="AK70" s="120">
        <f t="shared" si="8"/>
        <v>5244.1399999999994</v>
      </c>
    </row>
    <row r="71" spans="1:37" s="109" customFormat="1" ht="13.5" x14ac:dyDescent="0.25">
      <c r="A71" s="121">
        <v>9</v>
      </c>
      <c r="B71" s="122" t="s">
        <v>119</v>
      </c>
      <c r="C71" s="122">
        <v>41</v>
      </c>
      <c r="D71" s="122">
        <v>1</v>
      </c>
      <c r="E71" s="160">
        <v>1300</v>
      </c>
      <c r="F71" s="160">
        <f>1414+E71</f>
        <v>2714</v>
      </c>
      <c r="G71" s="160">
        <v>1357</v>
      </c>
      <c r="H71" s="161">
        <v>35</v>
      </c>
      <c r="I71" s="161">
        <f>99-13</f>
        <v>86</v>
      </c>
      <c r="J71" s="161">
        <v>1236</v>
      </c>
      <c r="K71" s="123">
        <f t="shared" si="1"/>
        <v>1357</v>
      </c>
      <c r="L71" s="124">
        <f t="shared" si="2"/>
        <v>17.5</v>
      </c>
      <c r="M71" s="124">
        <f t="shared" si="2"/>
        <v>43</v>
      </c>
      <c r="N71" s="124">
        <f t="shared" si="2"/>
        <v>618</v>
      </c>
      <c r="O71" s="124">
        <f t="shared" si="3"/>
        <v>2035.5</v>
      </c>
      <c r="P71" s="124">
        <f t="shared" si="4"/>
        <v>17.5</v>
      </c>
      <c r="Q71" s="124">
        <f t="shared" si="4"/>
        <v>43</v>
      </c>
      <c r="R71" s="124">
        <f t="shared" si="4"/>
        <v>618</v>
      </c>
      <c r="S71" s="118">
        <f t="shared" si="5"/>
        <v>678.5</v>
      </c>
      <c r="T71" s="160">
        <f>228+461</f>
        <v>689</v>
      </c>
      <c r="U71" s="160"/>
      <c r="V71" s="161">
        <v>228</v>
      </c>
      <c r="W71" s="160">
        <v>2782</v>
      </c>
      <c r="X71" s="160"/>
      <c r="Y71" s="160">
        <f>2782-E71</f>
        <v>1482</v>
      </c>
      <c r="Z71" s="161">
        <v>0</v>
      </c>
      <c r="AA71" s="123">
        <v>21</v>
      </c>
      <c r="AB71" s="162">
        <v>4424</v>
      </c>
      <c r="AC71" s="117"/>
      <c r="AD71" s="118">
        <f t="shared" si="9"/>
        <v>2035.5</v>
      </c>
      <c r="AE71" s="118"/>
      <c r="AF71" s="118" t="e">
        <f>#REF!-AE71</f>
        <v>#REF!</v>
      </c>
      <c r="AG71" s="118"/>
      <c r="AH71" s="118" t="e">
        <f>#REF!-AG71</f>
        <v>#REF!</v>
      </c>
      <c r="AI71" s="118">
        <v>21</v>
      </c>
      <c r="AJ71" s="119"/>
      <c r="AK71" s="120">
        <f t="shared" si="8"/>
        <v>6185</v>
      </c>
    </row>
    <row r="72" spans="1:37" s="109" customFormat="1" ht="13.5" x14ac:dyDescent="0.25">
      <c r="A72" s="121">
        <v>10</v>
      </c>
      <c r="B72" s="122" t="s">
        <v>119</v>
      </c>
      <c r="C72" s="122">
        <v>41</v>
      </c>
      <c r="D72" s="122">
        <v>2</v>
      </c>
      <c r="E72" s="160"/>
      <c r="F72" s="160">
        <v>1229</v>
      </c>
      <c r="G72" s="160">
        <f>44+181</f>
        <v>225</v>
      </c>
      <c r="H72" s="161">
        <v>35</v>
      </c>
      <c r="I72" s="161">
        <f>181-181</f>
        <v>0</v>
      </c>
      <c r="J72" s="161">
        <v>969</v>
      </c>
      <c r="K72" s="123">
        <f t="shared" si="1"/>
        <v>225</v>
      </c>
      <c r="L72" s="124">
        <f t="shared" si="2"/>
        <v>17.5</v>
      </c>
      <c r="M72" s="124">
        <f t="shared" si="2"/>
        <v>0</v>
      </c>
      <c r="N72" s="124">
        <f t="shared" si="2"/>
        <v>484.5</v>
      </c>
      <c r="O72" s="124">
        <f t="shared" si="3"/>
        <v>727</v>
      </c>
      <c r="P72" s="124">
        <f t="shared" si="4"/>
        <v>17.5</v>
      </c>
      <c r="Q72" s="124">
        <f t="shared" si="4"/>
        <v>0</v>
      </c>
      <c r="R72" s="124">
        <f t="shared" si="4"/>
        <v>484.5</v>
      </c>
      <c r="S72" s="118">
        <f t="shared" si="5"/>
        <v>502</v>
      </c>
      <c r="T72" s="160"/>
      <c r="U72" s="160"/>
      <c r="V72" s="161">
        <v>461</v>
      </c>
      <c r="W72" s="160">
        <v>3362</v>
      </c>
      <c r="X72" s="160"/>
      <c r="Y72" s="160">
        <v>3362</v>
      </c>
      <c r="Z72" s="161">
        <v>0</v>
      </c>
      <c r="AA72" s="123"/>
      <c r="AB72" s="162">
        <v>5052</v>
      </c>
      <c r="AC72" s="117"/>
      <c r="AD72" s="118">
        <f t="shared" si="9"/>
        <v>727</v>
      </c>
      <c r="AE72" s="118"/>
      <c r="AF72" s="118" t="e">
        <f>#REF!-AE72</f>
        <v>#REF!</v>
      </c>
      <c r="AG72" s="118"/>
      <c r="AH72" s="118" t="e">
        <f>#REF!-AG72</f>
        <v>#REF!</v>
      </c>
      <c r="AI72" s="118"/>
      <c r="AJ72" s="119"/>
      <c r="AK72" s="120">
        <f t="shared" si="8"/>
        <v>4591</v>
      </c>
    </row>
    <row r="73" spans="1:37" s="109" customFormat="1" ht="13.5" x14ac:dyDescent="0.25">
      <c r="A73" s="121">
        <v>11</v>
      </c>
      <c r="B73" s="122" t="s">
        <v>119</v>
      </c>
      <c r="C73" s="122">
        <v>47</v>
      </c>
      <c r="D73" s="122">
        <v>1</v>
      </c>
      <c r="E73" s="160"/>
      <c r="F73" s="160">
        <v>1470</v>
      </c>
      <c r="G73" s="160">
        <f>79+131</f>
        <v>210</v>
      </c>
      <c r="H73" s="161">
        <v>242</v>
      </c>
      <c r="I73" s="161">
        <f>1149-131</f>
        <v>1018</v>
      </c>
      <c r="J73" s="161"/>
      <c r="K73" s="123">
        <f t="shared" si="1"/>
        <v>210</v>
      </c>
      <c r="L73" s="124">
        <f t="shared" si="2"/>
        <v>121</v>
      </c>
      <c r="M73" s="124">
        <f t="shared" si="2"/>
        <v>509</v>
      </c>
      <c r="N73" s="124">
        <f t="shared" si="2"/>
        <v>0</v>
      </c>
      <c r="O73" s="124">
        <f t="shared" si="3"/>
        <v>840</v>
      </c>
      <c r="P73" s="124">
        <f t="shared" si="4"/>
        <v>121</v>
      </c>
      <c r="Q73" s="124">
        <f t="shared" si="4"/>
        <v>509</v>
      </c>
      <c r="R73" s="124">
        <f t="shared" si="4"/>
        <v>0</v>
      </c>
      <c r="S73" s="118">
        <f t="shared" si="5"/>
        <v>630</v>
      </c>
      <c r="T73" s="160"/>
      <c r="U73" s="160"/>
      <c r="V73" s="161">
        <v>0</v>
      </c>
      <c r="W73" s="160">
        <v>5077</v>
      </c>
      <c r="X73" s="160"/>
      <c r="Y73" s="160">
        <v>5077</v>
      </c>
      <c r="Z73" s="161">
        <v>0</v>
      </c>
      <c r="AA73" s="123">
        <v>7</v>
      </c>
      <c r="AB73" s="162">
        <v>6547</v>
      </c>
      <c r="AC73" s="117"/>
      <c r="AD73" s="118">
        <f t="shared" si="9"/>
        <v>840</v>
      </c>
      <c r="AE73" s="118"/>
      <c r="AF73" s="118" t="e">
        <f>#REF!-AE73</f>
        <v>#REF!</v>
      </c>
      <c r="AG73" s="118"/>
      <c r="AH73" s="118" t="e">
        <f>#REF!-AG73</f>
        <v>#REF!</v>
      </c>
      <c r="AI73" s="118">
        <v>7</v>
      </c>
      <c r="AJ73" s="119"/>
      <c r="AK73" s="120">
        <f t="shared" si="8"/>
        <v>6547</v>
      </c>
    </row>
    <row r="74" spans="1:37" s="109" customFormat="1" ht="13.5" x14ac:dyDescent="0.25">
      <c r="A74" s="121">
        <v>12</v>
      </c>
      <c r="B74" s="122" t="s">
        <v>119</v>
      </c>
      <c r="C74" s="122">
        <v>47</v>
      </c>
      <c r="D74" s="122">
        <v>2</v>
      </c>
      <c r="E74" s="160">
        <f>259.5</f>
        <v>259.5</v>
      </c>
      <c r="F74" s="160">
        <f>1645+E74</f>
        <v>1904.5</v>
      </c>
      <c r="G74" s="160">
        <v>417.5</v>
      </c>
      <c r="H74" s="161">
        <v>145</v>
      </c>
      <c r="I74" s="161">
        <f>636-71</f>
        <v>565</v>
      </c>
      <c r="J74" s="161">
        <v>777</v>
      </c>
      <c r="K74" s="123">
        <f t="shared" si="1"/>
        <v>417.5</v>
      </c>
      <c r="L74" s="124">
        <f t="shared" si="2"/>
        <v>72.5</v>
      </c>
      <c r="M74" s="124">
        <f t="shared" si="2"/>
        <v>282.5</v>
      </c>
      <c r="N74" s="124">
        <f t="shared" si="2"/>
        <v>388.5</v>
      </c>
      <c r="O74" s="124">
        <f t="shared" si="3"/>
        <v>1161</v>
      </c>
      <c r="P74" s="124">
        <f t="shared" si="4"/>
        <v>72.5</v>
      </c>
      <c r="Q74" s="124">
        <f t="shared" si="4"/>
        <v>282.5</v>
      </c>
      <c r="R74" s="124">
        <f t="shared" si="4"/>
        <v>388.5</v>
      </c>
      <c r="S74" s="118">
        <f t="shared" si="5"/>
        <v>743.5</v>
      </c>
      <c r="T74" s="160">
        <f>211+103+46</f>
        <v>360</v>
      </c>
      <c r="U74" s="160"/>
      <c r="V74" s="161">
        <v>360</v>
      </c>
      <c r="W74" s="160">
        <v>5089</v>
      </c>
      <c r="X74" s="160"/>
      <c r="Y74" s="160">
        <f>5089-E74</f>
        <v>4829.5</v>
      </c>
      <c r="Z74" s="161">
        <v>412</v>
      </c>
      <c r="AA74" s="123"/>
      <c r="AB74" s="162">
        <v>7506</v>
      </c>
      <c r="AC74" s="117"/>
      <c r="AD74" s="118">
        <f t="shared" si="9"/>
        <v>1161</v>
      </c>
      <c r="AE74" s="118"/>
      <c r="AF74" s="118" t="e">
        <f>#REF!-AE74</f>
        <v>#REF!</v>
      </c>
      <c r="AG74" s="118"/>
      <c r="AH74" s="118" t="e">
        <f>#REF!-AG74</f>
        <v>#REF!</v>
      </c>
      <c r="AI74" s="118"/>
      <c r="AJ74" s="119"/>
      <c r="AK74" s="120">
        <f t="shared" si="8"/>
        <v>7353.5</v>
      </c>
    </row>
    <row r="75" spans="1:37" s="109" customFormat="1" ht="13.5" x14ac:dyDescent="0.25">
      <c r="A75" s="121">
        <v>13</v>
      </c>
      <c r="B75" s="122" t="s">
        <v>128</v>
      </c>
      <c r="C75" s="122">
        <v>46</v>
      </c>
      <c r="D75" s="122">
        <v>1</v>
      </c>
      <c r="E75" s="160">
        <f>412.35</f>
        <v>412.35</v>
      </c>
      <c r="F75" s="160">
        <f>1308+E75</f>
        <v>1720.35</v>
      </c>
      <c r="G75" s="160">
        <f>77+E75</f>
        <v>489.35</v>
      </c>
      <c r="H75" s="161">
        <v>98</v>
      </c>
      <c r="I75" s="161">
        <v>85</v>
      </c>
      <c r="J75" s="161">
        <v>1048</v>
      </c>
      <c r="K75" s="123">
        <f t="shared" si="1"/>
        <v>489.35</v>
      </c>
      <c r="L75" s="124">
        <f t="shared" si="2"/>
        <v>49</v>
      </c>
      <c r="M75" s="124">
        <f t="shared" si="2"/>
        <v>42.5</v>
      </c>
      <c r="N75" s="124">
        <f t="shared" si="2"/>
        <v>524</v>
      </c>
      <c r="O75" s="124">
        <f t="shared" si="3"/>
        <v>1104.8499999999999</v>
      </c>
      <c r="P75" s="124">
        <f t="shared" si="4"/>
        <v>49</v>
      </c>
      <c r="Q75" s="124">
        <f t="shared" si="4"/>
        <v>42.5</v>
      </c>
      <c r="R75" s="124">
        <f t="shared" si="4"/>
        <v>524</v>
      </c>
      <c r="S75" s="118">
        <f t="shared" si="5"/>
        <v>615.5</v>
      </c>
      <c r="T75" s="160">
        <f>254+408</f>
        <v>662</v>
      </c>
      <c r="U75" s="160"/>
      <c r="V75" s="161">
        <v>662</v>
      </c>
      <c r="W75" s="160">
        <v>4857</v>
      </c>
      <c r="X75" s="160"/>
      <c r="Y75" s="160">
        <f>4857-E75</f>
        <v>4444.6499999999996</v>
      </c>
      <c r="Z75" s="161">
        <v>0</v>
      </c>
      <c r="AA75" s="123">
        <v>14</v>
      </c>
      <c r="AB75" s="162">
        <v>6827</v>
      </c>
      <c r="AC75" s="117"/>
      <c r="AD75" s="118">
        <f t="shared" si="9"/>
        <v>1104.8499999999999</v>
      </c>
      <c r="AE75" s="118"/>
      <c r="AF75" s="118" t="e">
        <f>#REF!-AE75</f>
        <v>#REF!</v>
      </c>
      <c r="AG75" s="118">
        <v>42</v>
      </c>
      <c r="AH75" s="118" t="e">
        <f>#REF!-AG75</f>
        <v>#REF!</v>
      </c>
      <c r="AI75" s="118">
        <v>14</v>
      </c>
      <c r="AJ75" s="119"/>
      <c r="AK75" s="120">
        <f t="shared" si="8"/>
        <v>7239.35</v>
      </c>
    </row>
    <row r="76" spans="1:37" s="109" customFormat="1" ht="13.5" x14ac:dyDescent="0.25">
      <c r="A76" s="121">
        <v>14</v>
      </c>
      <c r="B76" s="122" t="s">
        <v>128</v>
      </c>
      <c r="C76" s="122">
        <v>46</v>
      </c>
      <c r="D76" s="122">
        <v>2</v>
      </c>
      <c r="E76" s="160"/>
      <c r="F76" s="160">
        <v>1772</v>
      </c>
      <c r="G76" s="160">
        <f>99+138</f>
        <v>237</v>
      </c>
      <c r="H76" s="161">
        <v>74</v>
      </c>
      <c r="I76" s="161">
        <v>1071</v>
      </c>
      <c r="J76" s="161">
        <v>390</v>
      </c>
      <c r="K76" s="123">
        <f t="shared" si="1"/>
        <v>237</v>
      </c>
      <c r="L76" s="124">
        <f t="shared" si="2"/>
        <v>37</v>
      </c>
      <c r="M76" s="124">
        <f t="shared" si="2"/>
        <v>535.5</v>
      </c>
      <c r="N76" s="124">
        <f t="shared" si="2"/>
        <v>195</v>
      </c>
      <c r="O76" s="124">
        <f t="shared" si="3"/>
        <v>1004.5</v>
      </c>
      <c r="P76" s="124">
        <f t="shared" si="4"/>
        <v>37</v>
      </c>
      <c r="Q76" s="124">
        <f t="shared" si="4"/>
        <v>535.5</v>
      </c>
      <c r="R76" s="124">
        <f t="shared" si="4"/>
        <v>195</v>
      </c>
      <c r="S76" s="118">
        <f t="shared" si="5"/>
        <v>767.5</v>
      </c>
      <c r="T76" s="160">
        <v>437</v>
      </c>
      <c r="U76" s="160"/>
      <c r="V76" s="161">
        <v>437</v>
      </c>
      <c r="W76" s="160">
        <v>3134</v>
      </c>
      <c r="X76" s="160"/>
      <c r="Y76" s="160">
        <v>3134</v>
      </c>
      <c r="Z76" s="161">
        <v>0</v>
      </c>
      <c r="AA76" s="123"/>
      <c r="AB76" s="162">
        <v>5343</v>
      </c>
      <c r="AC76" s="117"/>
      <c r="AD76" s="118">
        <f t="shared" si="9"/>
        <v>1004.5</v>
      </c>
      <c r="AE76" s="118"/>
      <c r="AF76" s="118" t="e">
        <f>#REF!-AE76</f>
        <v>#REF!</v>
      </c>
      <c r="AG76" s="118">
        <v>48</v>
      </c>
      <c r="AH76" s="118" t="e">
        <f>#REF!-AG76</f>
        <v>#REF!</v>
      </c>
      <c r="AI76" s="118"/>
      <c r="AJ76" s="119"/>
      <c r="AK76" s="120">
        <f t="shared" si="8"/>
        <v>5343</v>
      </c>
    </row>
    <row r="77" spans="1:37" s="109" customFormat="1" ht="13.5" x14ac:dyDescent="0.25">
      <c r="A77" s="121">
        <v>15</v>
      </c>
      <c r="B77" s="122" t="s">
        <v>128</v>
      </c>
      <c r="C77" s="122">
        <v>46</v>
      </c>
      <c r="D77" s="122">
        <v>3</v>
      </c>
      <c r="E77" s="160"/>
      <c r="F77" s="160">
        <v>582</v>
      </c>
      <c r="G77" s="160">
        <f>81</f>
        <v>81</v>
      </c>
      <c r="H77" s="161">
        <v>47</v>
      </c>
      <c r="I77" s="161"/>
      <c r="J77" s="161">
        <v>454</v>
      </c>
      <c r="K77" s="123">
        <f t="shared" si="1"/>
        <v>81</v>
      </c>
      <c r="L77" s="124">
        <f t="shared" si="2"/>
        <v>23.5</v>
      </c>
      <c r="M77" s="124">
        <f t="shared" si="2"/>
        <v>0</v>
      </c>
      <c r="N77" s="124">
        <f t="shared" si="2"/>
        <v>227</v>
      </c>
      <c r="O77" s="124">
        <f t="shared" si="3"/>
        <v>331.5</v>
      </c>
      <c r="P77" s="124">
        <f t="shared" si="4"/>
        <v>23.5</v>
      </c>
      <c r="Q77" s="124">
        <f t="shared" si="4"/>
        <v>0</v>
      </c>
      <c r="R77" s="124">
        <f t="shared" si="4"/>
        <v>227</v>
      </c>
      <c r="S77" s="118">
        <f t="shared" si="5"/>
        <v>250.5</v>
      </c>
      <c r="T77" s="160">
        <v>262</v>
      </c>
      <c r="U77" s="160"/>
      <c r="V77" s="161">
        <v>262</v>
      </c>
      <c r="W77" s="160">
        <v>1203</v>
      </c>
      <c r="X77" s="160"/>
      <c r="Y77" s="160">
        <v>1203</v>
      </c>
      <c r="Z77" s="161">
        <v>0</v>
      </c>
      <c r="AA77" s="123"/>
      <c r="AB77" s="162">
        <v>2047</v>
      </c>
      <c r="AC77" s="117"/>
      <c r="AD77" s="118">
        <f t="shared" si="9"/>
        <v>331.5</v>
      </c>
      <c r="AE77" s="118"/>
      <c r="AF77" s="118" t="e">
        <f>#REF!-AE77</f>
        <v>#REF!</v>
      </c>
      <c r="AG77" s="118">
        <v>114</v>
      </c>
      <c r="AH77" s="118" t="e">
        <f>#REF!-AG77</f>
        <v>#REF!</v>
      </c>
      <c r="AI77" s="118"/>
      <c r="AJ77" s="119"/>
      <c r="AK77" s="120">
        <f t="shared" si="8"/>
        <v>2047</v>
      </c>
    </row>
    <row r="78" spans="1:37" s="109" customFormat="1" ht="13.5" x14ac:dyDescent="0.25">
      <c r="A78" s="121">
        <v>16</v>
      </c>
      <c r="B78" s="122" t="s">
        <v>128</v>
      </c>
      <c r="C78" s="122">
        <v>46</v>
      </c>
      <c r="D78" s="122">
        <v>4</v>
      </c>
      <c r="E78" s="160"/>
      <c r="F78" s="160">
        <v>1111</v>
      </c>
      <c r="G78" s="160">
        <f>70</f>
        <v>70</v>
      </c>
      <c r="H78" s="161">
        <v>67</v>
      </c>
      <c r="I78" s="161">
        <v>774</v>
      </c>
      <c r="J78" s="161">
        <v>200</v>
      </c>
      <c r="K78" s="123">
        <f t="shared" si="1"/>
        <v>70</v>
      </c>
      <c r="L78" s="124">
        <f t="shared" si="2"/>
        <v>33.5</v>
      </c>
      <c r="M78" s="124">
        <f t="shared" si="2"/>
        <v>387</v>
      </c>
      <c r="N78" s="124">
        <f t="shared" si="2"/>
        <v>100</v>
      </c>
      <c r="O78" s="124">
        <f t="shared" si="3"/>
        <v>590.5</v>
      </c>
      <c r="P78" s="124">
        <f t="shared" si="4"/>
        <v>33.5</v>
      </c>
      <c r="Q78" s="124">
        <f t="shared" si="4"/>
        <v>387</v>
      </c>
      <c r="R78" s="124">
        <f t="shared" si="4"/>
        <v>100</v>
      </c>
      <c r="S78" s="118">
        <f t="shared" si="5"/>
        <v>520.5</v>
      </c>
      <c r="T78" s="160">
        <v>402</v>
      </c>
      <c r="U78" s="160"/>
      <c r="V78" s="161">
        <v>402</v>
      </c>
      <c r="W78" s="160">
        <v>1549</v>
      </c>
      <c r="X78" s="160"/>
      <c r="Y78" s="160">
        <v>1549</v>
      </c>
      <c r="Z78" s="161">
        <v>0</v>
      </c>
      <c r="AA78" s="123"/>
      <c r="AB78" s="162">
        <v>3062</v>
      </c>
      <c r="AC78" s="117"/>
      <c r="AD78" s="118">
        <f t="shared" si="9"/>
        <v>590.5</v>
      </c>
      <c r="AE78" s="118"/>
      <c r="AF78" s="118" t="e">
        <f>#REF!-AE78</f>
        <v>#REF!</v>
      </c>
      <c r="AG78" s="118">
        <v>90</v>
      </c>
      <c r="AH78" s="118" t="e">
        <f>#REF!-AG78</f>
        <v>#REF!</v>
      </c>
      <c r="AI78" s="118"/>
      <c r="AJ78" s="119"/>
      <c r="AK78" s="120">
        <f t="shared" si="8"/>
        <v>3062</v>
      </c>
    </row>
    <row r="79" spans="1:37" s="109" customFormat="1" ht="13.5" x14ac:dyDescent="0.25">
      <c r="A79" s="121">
        <v>17</v>
      </c>
      <c r="B79" s="122" t="s">
        <v>128</v>
      </c>
      <c r="C79" s="122">
        <v>48</v>
      </c>
      <c r="D79" s="122"/>
      <c r="E79" s="160"/>
      <c r="F79" s="160">
        <v>1603</v>
      </c>
      <c r="G79" s="160">
        <f>86+535</f>
        <v>621</v>
      </c>
      <c r="H79" s="161">
        <v>63</v>
      </c>
      <c r="I79" s="161">
        <f>535-535</f>
        <v>0</v>
      </c>
      <c r="J79" s="161">
        <f>919</f>
        <v>919</v>
      </c>
      <c r="K79" s="123">
        <f t="shared" si="1"/>
        <v>621</v>
      </c>
      <c r="L79" s="124">
        <f t="shared" ref="L79:N147" si="10">H79/2</f>
        <v>31.5</v>
      </c>
      <c r="M79" s="124">
        <f t="shared" si="10"/>
        <v>0</v>
      </c>
      <c r="N79" s="124">
        <f t="shared" si="10"/>
        <v>459.5</v>
      </c>
      <c r="O79" s="124">
        <f t="shared" ref="O79:O147" si="11">SUM(K79:N79)</f>
        <v>1112</v>
      </c>
      <c r="P79" s="124">
        <f t="shared" ref="P79:R147" si="12">H79/2</f>
        <v>31.5</v>
      </c>
      <c r="Q79" s="124">
        <f t="shared" si="12"/>
        <v>0</v>
      </c>
      <c r="R79" s="124">
        <f t="shared" si="12"/>
        <v>459.5</v>
      </c>
      <c r="S79" s="118">
        <f t="shared" si="5"/>
        <v>491</v>
      </c>
      <c r="T79" s="160"/>
      <c r="U79" s="160"/>
      <c r="V79" s="161">
        <v>0</v>
      </c>
      <c r="W79" s="160">
        <v>1565</v>
      </c>
      <c r="X79" s="160"/>
      <c r="Y79" s="160">
        <v>1565</v>
      </c>
      <c r="Z79" s="161">
        <v>0</v>
      </c>
      <c r="AA79" s="123"/>
      <c r="AB79" s="162">
        <v>3168</v>
      </c>
      <c r="AC79" s="117"/>
      <c r="AD79" s="118">
        <f t="shared" si="9"/>
        <v>1112</v>
      </c>
      <c r="AE79" s="118"/>
      <c r="AF79" s="118" t="e">
        <f>#REF!-AE79</f>
        <v>#REF!</v>
      </c>
      <c r="AG79" s="118"/>
      <c r="AH79" s="118" t="e">
        <f>#REF!-AG79</f>
        <v>#REF!</v>
      </c>
      <c r="AI79" s="118"/>
      <c r="AJ79" s="119"/>
      <c r="AK79" s="120">
        <f t="shared" si="8"/>
        <v>3168</v>
      </c>
    </row>
    <row r="80" spans="1:37" s="109" customFormat="1" ht="13.5" x14ac:dyDescent="0.25">
      <c r="A80" s="121">
        <v>18</v>
      </c>
      <c r="B80" s="122" t="s">
        <v>128</v>
      </c>
      <c r="C80" s="122">
        <v>50</v>
      </c>
      <c r="D80" s="122">
        <v>1</v>
      </c>
      <c r="E80" s="160"/>
      <c r="F80" s="160">
        <v>1159</v>
      </c>
      <c r="G80" s="160">
        <f>86+30</f>
        <v>116</v>
      </c>
      <c r="H80" s="161">
        <v>58</v>
      </c>
      <c r="I80" s="161">
        <f>957-30</f>
        <v>927</v>
      </c>
      <c r="J80" s="161">
        <v>58</v>
      </c>
      <c r="K80" s="123">
        <f t="shared" ref="K80:K148" si="13">G80</f>
        <v>116</v>
      </c>
      <c r="L80" s="124">
        <f t="shared" si="10"/>
        <v>29</v>
      </c>
      <c r="M80" s="124">
        <f t="shared" si="10"/>
        <v>463.5</v>
      </c>
      <c r="N80" s="124">
        <f t="shared" si="10"/>
        <v>29</v>
      </c>
      <c r="O80" s="124">
        <f t="shared" si="11"/>
        <v>637.5</v>
      </c>
      <c r="P80" s="124">
        <f t="shared" si="12"/>
        <v>29</v>
      </c>
      <c r="Q80" s="124">
        <f t="shared" si="12"/>
        <v>463.5</v>
      </c>
      <c r="R80" s="124">
        <f t="shared" si="12"/>
        <v>29</v>
      </c>
      <c r="S80" s="118">
        <f t="shared" ref="S80:S148" si="14">SUM(P80:R80)</f>
        <v>521.5</v>
      </c>
      <c r="T80" s="160"/>
      <c r="U80" s="160"/>
      <c r="V80" s="161">
        <v>0</v>
      </c>
      <c r="W80" s="160">
        <v>2373</v>
      </c>
      <c r="X80" s="160"/>
      <c r="Y80" s="160">
        <v>2373</v>
      </c>
      <c r="Z80" s="161">
        <v>0</v>
      </c>
      <c r="AA80" s="123"/>
      <c r="AB80" s="162">
        <v>3532</v>
      </c>
      <c r="AC80" s="117"/>
      <c r="AD80" s="118">
        <f t="shared" si="9"/>
        <v>637.5</v>
      </c>
      <c r="AE80" s="118"/>
      <c r="AF80" s="118" t="e">
        <f>#REF!-AE80</f>
        <v>#REF!</v>
      </c>
      <c r="AG80" s="118"/>
      <c r="AH80" s="118" t="e">
        <f>#REF!-AG80</f>
        <v>#REF!</v>
      </c>
      <c r="AI80" s="118"/>
      <c r="AJ80" s="119"/>
      <c r="AK80" s="120">
        <f t="shared" si="8"/>
        <v>3532</v>
      </c>
    </row>
    <row r="81" spans="1:37" s="109" customFormat="1" ht="13.5" x14ac:dyDescent="0.25">
      <c r="A81" s="121">
        <v>19</v>
      </c>
      <c r="B81" s="122" t="s">
        <v>128</v>
      </c>
      <c r="C81" s="122">
        <v>52</v>
      </c>
      <c r="D81" s="122">
        <v>1</v>
      </c>
      <c r="E81" s="160"/>
      <c r="F81" s="160">
        <v>2235</v>
      </c>
      <c r="G81" s="160">
        <f>86+39</f>
        <v>125</v>
      </c>
      <c r="H81" s="161">
        <v>340</v>
      </c>
      <c r="I81" s="161">
        <v>1770</v>
      </c>
      <c r="J81" s="161"/>
      <c r="K81" s="123">
        <f t="shared" si="13"/>
        <v>125</v>
      </c>
      <c r="L81" s="124">
        <f t="shared" si="10"/>
        <v>170</v>
      </c>
      <c r="M81" s="124">
        <f t="shared" si="10"/>
        <v>885</v>
      </c>
      <c r="N81" s="124">
        <f t="shared" si="10"/>
        <v>0</v>
      </c>
      <c r="O81" s="124">
        <f t="shared" si="11"/>
        <v>1180</v>
      </c>
      <c r="P81" s="124">
        <f t="shared" si="12"/>
        <v>170</v>
      </c>
      <c r="Q81" s="124">
        <f t="shared" si="12"/>
        <v>885</v>
      </c>
      <c r="R81" s="124">
        <f t="shared" si="12"/>
        <v>0</v>
      </c>
      <c r="S81" s="118">
        <f t="shared" si="14"/>
        <v>1055</v>
      </c>
      <c r="T81" s="160"/>
      <c r="U81" s="160"/>
      <c r="V81" s="161">
        <v>0</v>
      </c>
      <c r="W81" s="160">
        <v>3034</v>
      </c>
      <c r="X81" s="160"/>
      <c r="Y81" s="160">
        <v>3034</v>
      </c>
      <c r="Z81" s="161">
        <v>0</v>
      </c>
      <c r="AA81" s="123"/>
      <c r="AB81" s="162">
        <v>5269</v>
      </c>
      <c r="AC81" s="117"/>
      <c r="AD81" s="118">
        <f t="shared" si="9"/>
        <v>1180</v>
      </c>
      <c r="AE81" s="118"/>
      <c r="AF81" s="118" t="e">
        <f>#REF!-AE81</f>
        <v>#REF!</v>
      </c>
      <c r="AG81" s="118"/>
      <c r="AH81" s="118" t="e">
        <f>#REF!-AG81</f>
        <v>#REF!</v>
      </c>
      <c r="AI81" s="118"/>
      <c r="AJ81" s="119"/>
      <c r="AK81" s="120">
        <f t="shared" si="8"/>
        <v>5269</v>
      </c>
    </row>
    <row r="82" spans="1:37" s="109" customFormat="1" ht="13.5" x14ac:dyDescent="0.25">
      <c r="A82" s="121">
        <v>20</v>
      </c>
      <c r="B82" s="122" t="s">
        <v>128</v>
      </c>
      <c r="C82" s="122">
        <v>52</v>
      </c>
      <c r="D82" s="122">
        <v>2</v>
      </c>
      <c r="E82" s="160">
        <f>102</f>
        <v>102</v>
      </c>
      <c r="F82" s="160">
        <f>4882+E82</f>
        <v>4984</v>
      </c>
      <c r="G82" s="160">
        <v>691</v>
      </c>
      <c r="H82" s="161">
        <v>103</v>
      </c>
      <c r="I82" s="161">
        <v>414</v>
      </c>
      <c r="J82" s="161">
        <v>3776</v>
      </c>
      <c r="K82" s="123">
        <f t="shared" si="13"/>
        <v>691</v>
      </c>
      <c r="L82" s="124">
        <f t="shared" si="10"/>
        <v>51.5</v>
      </c>
      <c r="M82" s="124">
        <f t="shared" si="10"/>
        <v>207</v>
      </c>
      <c r="N82" s="124">
        <f t="shared" si="10"/>
        <v>1888</v>
      </c>
      <c r="O82" s="124">
        <f t="shared" si="11"/>
        <v>2837.5</v>
      </c>
      <c r="P82" s="124">
        <f t="shared" si="12"/>
        <v>51.5</v>
      </c>
      <c r="Q82" s="124">
        <f t="shared" si="12"/>
        <v>207</v>
      </c>
      <c r="R82" s="124">
        <f t="shared" si="12"/>
        <v>1888</v>
      </c>
      <c r="S82" s="118">
        <f t="shared" si="14"/>
        <v>2146.5</v>
      </c>
      <c r="T82" s="160">
        <f>200+252</f>
        <v>452</v>
      </c>
      <c r="U82" s="160"/>
      <c r="V82" s="161">
        <v>452</v>
      </c>
      <c r="W82" s="160">
        <v>7459</v>
      </c>
      <c r="X82" s="160"/>
      <c r="Y82" s="160">
        <f>7459-E82</f>
        <v>7357</v>
      </c>
      <c r="Z82" s="161">
        <v>0</v>
      </c>
      <c r="AA82" s="123">
        <v>14</v>
      </c>
      <c r="AB82" s="162">
        <v>12793</v>
      </c>
      <c r="AC82" s="117"/>
      <c r="AD82" s="118">
        <f t="shared" si="9"/>
        <v>2837.5</v>
      </c>
      <c r="AE82" s="118"/>
      <c r="AF82" s="118" t="e">
        <f>#REF!-AE82</f>
        <v>#REF!</v>
      </c>
      <c r="AG82" s="118"/>
      <c r="AH82" s="118" t="e">
        <f>#REF!-AG82</f>
        <v>#REF!</v>
      </c>
      <c r="AI82" s="118">
        <v>14</v>
      </c>
      <c r="AJ82" s="119"/>
      <c r="AK82" s="120">
        <f t="shared" si="8"/>
        <v>12895</v>
      </c>
    </row>
    <row r="83" spans="1:37" s="109" customFormat="1" ht="13.5" x14ac:dyDescent="0.25">
      <c r="A83" s="121">
        <v>21</v>
      </c>
      <c r="B83" s="122" t="s">
        <v>128</v>
      </c>
      <c r="C83" s="122">
        <v>54</v>
      </c>
      <c r="D83" s="122">
        <v>1</v>
      </c>
      <c r="E83" s="160">
        <f>354.7</f>
        <v>354.7</v>
      </c>
      <c r="F83" s="160">
        <f>1340+E83</f>
        <v>1694.7</v>
      </c>
      <c r="G83" s="160">
        <v>661.7</v>
      </c>
      <c r="H83" s="161">
        <v>98</v>
      </c>
      <c r="I83" s="161">
        <f>385-177</f>
        <v>208</v>
      </c>
      <c r="J83" s="161">
        <v>727</v>
      </c>
      <c r="K83" s="123">
        <f t="shared" si="13"/>
        <v>661.7</v>
      </c>
      <c r="L83" s="124">
        <f t="shared" si="10"/>
        <v>49</v>
      </c>
      <c r="M83" s="124">
        <f t="shared" si="10"/>
        <v>104</v>
      </c>
      <c r="N83" s="124">
        <f t="shared" si="10"/>
        <v>363.5</v>
      </c>
      <c r="O83" s="124">
        <f t="shared" si="11"/>
        <v>1178.2</v>
      </c>
      <c r="P83" s="124">
        <f t="shared" si="12"/>
        <v>49</v>
      </c>
      <c r="Q83" s="124">
        <f t="shared" si="12"/>
        <v>104</v>
      </c>
      <c r="R83" s="124">
        <f t="shared" si="12"/>
        <v>363.5</v>
      </c>
      <c r="S83" s="118">
        <f t="shared" si="14"/>
        <v>516.5</v>
      </c>
      <c r="T83" s="160">
        <f>284+445</f>
        <v>729</v>
      </c>
      <c r="U83" s="160"/>
      <c r="V83" s="161">
        <v>729</v>
      </c>
      <c r="W83" s="160">
        <v>4935</v>
      </c>
      <c r="X83" s="160"/>
      <c r="Y83" s="160">
        <f>4935-E83</f>
        <v>4580.3</v>
      </c>
      <c r="Z83" s="161">
        <v>0</v>
      </c>
      <c r="AA83" s="123">
        <v>17</v>
      </c>
      <c r="AB83" s="162">
        <v>7004</v>
      </c>
      <c r="AC83" s="117"/>
      <c r="AD83" s="118">
        <f t="shared" si="9"/>
        <v>1178.2</v>
      </c>
      <c r="AE83" s="118"/>
      <c r="AF83" s="118" t="e">
        <f>#REF!-AE83</f>
        <v>#REF!</v>
      </c>
      <c r="AG83" s="118">
        <v>102</v>
      </c>
      <c r="AH83" s="118" t="e">
        <f>#REF!-AG83</f>
        <v>#REF!</v>
      </c>
      <c r="AI83" s="118">
        <v>17</v>
      </c>
      <c r="AJ83" s="119"/>
      <c r="AK83" s="120">
        <f t="shared" si="8"/>
        <v>7358.7</v>
      </c>
    </row>
    <row r="84" spans="1:37" s="109" customFormat="1" ht="13.5" x14ac:dyDescent="0.25">
      <c r="A84" s="121">
        <v>22</v>
      </c>
      <c r="B84" s="122" t="s">
        <v>128</v>
      </c>
      <c r="C84" s="122">
        <v>56</v>
      </c>
      <c r="D84" s="122">
        <v>1</v>
      </c>
      <c r="E84" s="160"/>
      <c r="F84" s="160">
        <v>869</v>
      </c>
      <c r="G84" s="160">
        <f>80</f>
        <v>80</v>
      </c>
      <c r="H84" s="161">
        <v>101</v>
      </c>
      <c r="I84" s="161">
        <v>688</v>
      </c>
      <c r="J84" s="161"/>
      <c r="K84" s="123">
        <f t="shared" si="13"/>
        <v>80</v>
      </c>
      <c r="L84" s="124">
        <f t="shared" si="10"/>
        <v>50.5</v>
      </c>
      <c r="M84" s="124">
        <f t="shared" si="10"/>
        <v>344</v>
      </c>
      <c r="N84" s="124">
        <f t="shared" si="10"/>
        <v>0</v>
      </c>
      <c r="O84" s="124">
        <f t="shared" si="11"/>
        <v>474.5</v>
      </c>
      <c r="P84" s="124">
        <f t="shared" si="12"/>
        <v>50.5</v>
      </c>
      <c r="Q84" s="124">
        <f t="shared" si="12"/>
        <v>344</v>
      </c>
      <c r="R84" s="124">
        <f t="shared" si="12"/>
        <v>0</v>
      </c>
      <c r="S84" s="118">
        <f t="shared" si="14"/>
        <v>394.5</v>
      </c>
      <c r="T84" s="160"/>
      <c r="U84" s="160"/>
      <c r="V84" s="161">
        <v>0</v>
      </c>
      <c r="W84" s="160">
        <v>2855</v>
      </c>
      <c r="X84" s="160"/>
      <c r="Y84" s="160">
        <v>2855</v>
      </c>
      <c r="Z84" s="161">
        <v>0</v>
      </c>
      <c r="AA84" s="123"/>
      <c r="AB84" s="162">
        <v>3724</v>
      </c>
      <c r="AC84" s="117"/>
      <c r="AD84" s="118">
        <f t="shared" si="9"/>
        <v>474.5</v>
      </c>
      <c r="AE84" s="118"/>
      <c r="AF84" s="118" t="e">
        <f>#REF!-AE84</f>
        <v>#REF!</v>
      </c>
      <c r="AG84" s="118"/>
      <c r="AH84" s="118" t="e">
        <f>#REF!-AG84</f>
        <v>#REF!</v>
      </c>
      <c r="AI84" s="118"/>
      <c r="AJ84" s="119"/>
      <c r="AK84" s="120">
        <f t="shared" si="8"/>
        <v>3724</v>
      </c>
    </row>
    <row r="85" spans="1:37" s="109" customFormat="1" ht="13.5" x14ac:dyDescent="0.25">
      <c r="A85" s="121">
        <v>23</v>
      </c>
      <c r="B85" s="122" t="s">
        <v>128</v>
      </c>
      <c r="C85" s="122">
        <v>56</v>
      </c>
      <c r="D85" s="122">
        <v>2</v>
      </c>
      <c r="E85" s="160"/>
      <c r="F85" s="160">
        <v>1110</v>
      </c>
      <c r="G85" s="160">
        <f>80</f>
        <v>80</v>
      </c>
      <c r="H85" s="161">
        <v>125</v>
      </c>
      <c r="I85" s="161">
        <v>905</v>
      </c>
      <c r="J85" s="161"/>
      <c r="K85" s="123">
        <f t="shared" si="13"/>
        <v>80</v>
      </c>
      <c r="L85" s="124">
        <f t="shared" si="10"/>
        <v>62.5</v>
      </c>
      <c r="M85" s="124">
        <f t="shared" si="10"/>
        <v>452.5</v>
      </c>
      <c r="N85" s="124">
        <f t="shared" si="10"/>
        <v>0</v>
      </c>
      <c r="O85" s="124">
        <f t="shared" si="11"/>
        <v>595</v>
      </c>
      <c r="P85" s="124">
        <f t="shared" si="12"/>
        <v>62.5</v>
      </c>
      <c r="Q85" s="124">
        <f t="shared" si="12"/>
        <v>452.5</v>
      </c>
      <c r="R85" s="124">
        <f t="shared" si="12"/>
        <v>0</v>
      </c>
      <c r="S85" s="118">
        <f t="shared" si="14"/>
        <v>515</v>
      </c>
      <c r="T85" s="160"/>
      <c r="U85" s="160"/>
      <c r="V85" s="161">
        <v>0</v>
      </c>
      <c r="W85" s="160">
        <v>2277</v>
      </c>
      <c r="X85" s="160"/>
      <c r="Y85" s="160">
        <v>2277</v>
      </c>
      <c r="Z85" s="161">
        <v>0</v>
      </c>
      <c r="AA85" s="123"/>
      <c r="AB85" s="162">
        <v>3387</v>
      </c>
      <c r="AC85" s="117"/>
      <c r="AD85" s="118">
        <f t="shared" si="9"/>
        <v>595</v>
      </c>
      <c r="AE85" s="118"/>
      <c r="AF85" s="118" t="e">
        <f>#REF!-AE85</f>
        <v>#REF!</v>
      </c>
      <c r="AG85" s="118"/>
      <c r="AH85" s="118" t="e">
        <f>#REF!-AG85</f>
        <v>#REF!</v>
      </c>
      <c r="AI85" s="118"/>
      <c r="AJ85" s="119"/>
      <c r="AK85" s="120">
        <f t="shared" si="8"/>
        <v>3387</v>
      </c>
    </row>
    <row r="86" spans="1:37" s="109" customFormat="1" ht="13.5" x14ac:dyDescent="0.25">
      <c r="A86" s="121">
        <v>24</v>
      </c>
      <c r="B86" s="122" t="s">
        <v>128</v>
      </c>
      <c r="C86" s="122">
        <v>56</v>
      </c>
      <c r="D86" s="122">
        <v>3</v>
      </c>
      <c r="E86" s="160"/>
      <c r="F86" s="160">
        <v>2236</v>
      </c>
      <c r="G86" s="160">
        <f>150</f>
        <v>150</v>
      </c>
      <c r="H86" s="161">
        <v>391</v>
      </c>
      <c r="I86" s="161">
        <f>1695-879+879</f>
        <v>1695</v>
      </c>
      <c r="J86" s="161"/>
      <c r="K86" s="123">
        <f t="shared" si="13"/>
        <v>150</v>
      </c>
      <c r="L86" s="124">
        <f t="shared" si="10"/>
        <v>195.5</v>
      </c>
      <c r="M86" s="124">
        <f t="shared" si="10"/>
        <v>847.5</v>
      </c>
      <c r="N86" s="124">
        <f t="shared" si="10"/>
        <v>0</v>
      </c>
      <c r="O86" s="124">
        <f t="shared" si="11"/>
        <v>1193</v>
      </c>
      <c r="P86" s="124">
        <f t="shared" si="12"/>
        <v>195.5</v>
      </c>
      <c r="Q86" s="124">
        <f t="shared" si="12"/>
        <v>847.5</v>
      </c>
      <c r="R86" s="124">
        <f t="shared" si="12"/>
        <v>0</v>
      </c>
      <c r="S86" s="118">
        <f t="shared" si="14"/>
        <v>1043</v>
      </c>
      <c r="T86" s="160"/>
      <c r="U86" s="160"/>
      <c r="V86" s="161">
        <v>0</v>
      </c>
      <c r="W86" s="160">
        <v>2656</v>
      </c>
      <c r="X86" s="160"/>
      <c r="Y86" s="160">
        <v>2656</v>
      </c>
      <c r="Z86" s="161">
        <v>0</v>
      </c>
      <c r="AA86" s="123"/>
      <c r="AB86" s="162">
        <v>4892</v>
      </c>
      <c r="AC86" s="117"/>
      <c r="AD86" s="118">
        <f t="shared" si="9"/>
        <v>1193</v>
      </c>
      <c r="AE86" s="118"/>
      <c r="AF86" s="118" t="e">
        <f>#REF!-AE86</f>
        <v>#REF!</v>
      </c>
      <c r="AG86" s="118">
        <v>48</v>
      </c>
      <c r="AH86" s="118" t="e">
        <f>#REF!-AG86</f>
        <v>#REF!</v>
      </c>
      <c r="AI86" s="118"/>
      <c r="AJ86" s="119"/>
      <c r="AK86" s="120">
        <f t="shared" si="8"/>
        <v>4892</v>
      </c>
    </row>
    <row r="87" spans="1:37" s="109" customFormat="1" ht="13.5" x14ac:dyDescent="0.25">
      <c r="A87" s="121">
        <v>25</v>
      </c>
      <c r="B87" s="122" t="s">
        <v>128</v>
      </c>
      <c r="C87" s="122">
        <v>58</v>
      </c>
      <c r="D87" s="122"/>
      <c r="E87" s="160"/>
      <c r="F87" s="160">
        <v>1125</v>
      </c>
      <c r="G87" s="160">
        <f>94</f>
        <v>94</v>
      </c>
      <c r="H87" s="161">
        <v>7</v>
      </c>
      <c r="I87" s="161">
        <v>261</v>
      </c>
      <c r="J87" s="161">
        <v>763</v>
      </c>
      <c r="K87" s="123">
        <f t="shared" si="13"/>
        <v>94</v>
      </c>
      <c r="L87" s="124">
        <f t="shared" si="10"/>
        <v>3.5</v>
      </c>
      <c r="M87" s="124">
        <f t="shared" si="10"/>
        <v>130.5</v>
      </c>
      <c r="N87" s="124">
        <f t="shared" si="10"/>
        <v>381.5</v>
      </c>
      <c r="O87" s="124">
        <f t="shared" si="11"/>
        <v>609.5</v>
      </c>
      <c r="P87" s="124">
        <f t="shared" si="12"/>
        <v>3.5</v>
      </c>
      <c r="Q87" s="124">
        <f t="shared" si="12"/>
        <v>130.5</v>
      </c>
      <c r="R87" s="124">
        <f t="shared" si="12"/>
        <v>381.5</v>
      </c>
      <c r="S87" s="118">
        <f t="shared" si="14"/>
        <v>515.5</v>
      </c>
      <c r="T87" s="160"/>
      <c r="U87" s="160"/>
      <c r="V87" s="161">
        <v>0</v>
      </c>
      <c r="W87" s="160">
        <v>2663</v>
      </c>
      <c r="X87" s="160"/>
      <c r="Y87" s="160">
        <v>2663</v>
      </c>
      <c r="Z87" s="161">
        <v>0</v>
      </c>
      <c r="AA87" s="123">
        <v>17.5</v>
      </c>
      <c r="AB87" s="162">
        <v>3788</v>
      </c>
      <c r="AC87" s="117"/>
      <c r="AD87" s="118">
        <f t="shared" si="9"/>
        <v>609.5</v>
      </c>
      <c r="AE87" s="118"/>
      <c r="AF87" s="118" t="e">
        <f>#REF!-AE87</f>
        <v>#REF!</v>
      </c>
      <c r="AG87" s="118"/>
      <c r="AH87" s="118" t="e">
        <f>#REF!-AG87</f>
        <v>#REF!</v>
      </c>
      <c r="AI87" s="118">
        <v>18</v>
      </c>
      <c r="AJ87" s="119"/>
      <c r="AK87" s="120">
        <f t="shared" si="8"/>
        <v>3788</v>
      </c>
    </row>
    <row r="88" spans="1:37" s="109" customFormat="1" ht="14.25" thickBot="1" x14ac:dyDescent="0.3">
      <c r="A88" s="129">
        <v>26</v>
      </c>
      <c r="B88" s="130" t="s">
        <v>128</v>
      </c>
      <c r="C88" s="130">
        <v>60</v>
      </c>
      <c r="D88" s="130"/>
      <c r="E88" s="163"/>
      <c r="F88" s="163">
        <v>1242</v>
      </c>
      <c r="G88" s="163">
        <f>120</f>
        <v>120</v>
      </c>
      <c r="H88" s="164">
        <v>90</v>
      </c>
      <c r="I88" s="164">
        <f>364-36+36</f>
        <v>364</v>
      </c>
      <c r="J88" s="164">
        <v>668</v>
      </c>
      <c r="K88" s="131">
        <f t="shared" si="13"/>
        <v>120</v>
      </c>
      <c r="L88" s="100">
        <f t="shared" si="10"/>
        <v>45</v>
      </c>
      <c r="M88" s="100">
        <f t="shared" si="10"/>
        <v>182</v>
      </c>
      <c r="N88" s="100">
        <f t="shared" si="10"/>
        <v>334</v>
      </c>
      <c r="O88" s="100">
        <f t="shared" si="11"/>
        <v>681</v>
      </c>
      <c r="P88" s="100">
        <f t="shared" si="12"/>
        <v>45</v>
      </c>
      <c r="Q88" s="100">
        <f t="shared" si="12"/>
        <v>182</v>
      </c>
      <c r="R88" s="100">
        <f t="shared" si="12"/>
        <v>334</v>
      </c>
      <c r="S88" s="98">
        <f t="shared" si="14"/>
        <v>561</v>
      </c>
      <c r="T88" s="163">
        <f>242+81</f>
        <v>323</v>
      </c>
      <c r="U88" s="163"/>
      <c r="V88" s="164">
        <v>323</v>
      </c>
      <c r="W88" s="163">
        <f>9241</f>
        <v>9241</v>
      </c>
      <c r="X88" s="163"/>
      <c r="Y88" s="163">
        <v>9241</v>
      </c>
      <c r="Z88" s="164">
        <v>0</v>
      </c>
      <c r="AA88" s="131"/>
      <c r="AB88" s="165">
        <v>10806</v>
      </c>
      <c r="AC88" s="117"/>
      <c r="AD88" s="118">
        <f t="shared" si="9"/>
        <v>681</v>
      </c>
      <c r="AE88" s="118"/>
      <c r="AF88" s="118" t="e">
        <f>#REF!-AE88</f>
        <v>#REF!</v>
      </c>
      <c r="AG88" s="118"/>
      <c r="AH88" s="118" t="e">
        <f>#REF!-AG88</f>
        <v>#REF!</v>
      </c>
      <c r="AI88" s="118"/>
      <c r="AJ88" s="119"/>
      <c r="AK88" s="120">
        <f t="shared" si="8"/>
        <v>10806</v>
      </c>
    </row>
    <row r="89" spans="1:37" s="147" customFormat="1" ht="14.25" thickBot="1" x14ac:dyDescent="0.3">
      <c r="A89" s="135"/>
      <c r="B89" s="136" t="s">
        <v>129</v>
      </c>
      <c r="C89" s="136"/>
      <c r="D89" s="136"/>
      <c r="E89" s="137">
        <f t="shared" ref="E89:AI89" si="15">SUM(E63:E88)</f>
        <v>3894.19</v>
      </c>
      <c r="F89" s="138">
        <f t="shared" si="15"/>
        <v>42265.189999999995</v>
      </c>
      <c r="G89" s="139">
        <f t="shared" si="15"/>
        <v>8952.19</v>
      </c>
      <c r="H89" s="140">
        <f t="shared" si="15"/>
        <v>2798</v>
      </c>
      <c r="I89" s="140">
        <f t="shared" si="15"/>
        <v>13732</v>
      </c>
      <c r="J89" s="140">
        <f t="shared" si="15"/>
        <v>16783</v>
      </c>
      <c r="K89" s="139">
        <f t="shared" si="15"/>
        <v>8952.19</v>
      </c>
      <c r="L89" s="140">
        <f t="shared" si="15"/>
        <v>1399</v>
      </c>
      <c r="M89" s="140">
        <f t="shared" si="15"/>
        <v>6866</v>
      </c>
      <c r="N89" s="140">
        <f t="shared" si="15"/>
        <v>8391.5</v>
      </c>
      <c r="O89" s="141">
        <f t="shared" si="15"/>
        <v>25608.69</v>
      </c>
      <c r="P89" s="140">
        <f t="shared" si="15"/>
        <v>1399</v>
      </c>
      <c r="Q89" s="141">
        <f t="shared" si="15"/>
        <v>6866</v>
      </c>
      <c r="R89" s="141">
        <f t="shared" si="15"/>
        <v>8391.5</v>
      </c>
      <c r="S89" s="140">
        <f t="shared" si="15"/>
        <v>16656.5</v>
      </c>
      <c r="T89" s="139">
        <f t="shared" si="15"/>
        <v>6070</v>
      </c>
      <c r="U89" s="139">
        <f t="shared" si="15"/>
        <v>0</v>
      </c>
      <c r="V89" s="140">
        <f t="shared" si="15"/>
        <v>6070</v>
      </c>
      <c r="W89" s="139">
        <f t="shared" si="15"/>
        <v>96994</v>
      </c>
      <c r="X89" s="139">
        <f t="shared" si="15"/>
        <v>0</v>
      </c>
      <c r="Y89" s="139">
        <f t="shared" si="15"/>
        <v>93099.810000000012</v>
      </c>
      <c r="Z89" s="140">
        <f t="shared" si="15"/>
        <v>416</v>
      </c>
      <c r="AA89" s="139">
        <f t="shared" si="15"/>
        <v>118.5</v>
      </c>
      <c r="AB89" s="142">
        <f t="shared" si="15"/>
        <v>141851</v>
      </c>
      <c r="AC89" s="143">
        <f t="shared" si="15"/>
        <v>0</v>
      </c>
      <c r="AD89" s="144">
        <f t="shared" si="15"/>
        <v>25608.69</v>
      </c>
      <c r="AE89" s="144">
        <f t="shared" si="15"/>
        <v>6</v>
      </c>
      <c r="AF89" s="144" t="e">
        <f t="shared" si="15"/>
        <v>#REF!</v>
      </c>
      <c r="AG89" s="144">
        <f t="shared" si="15"/>
        <v>564</v>
      </c>
      <c r="AH89" s="145" t="e">
        <f t="shared" si="15"/>
        <v>#REF!</v>
      </c>
      <c r="AI89" s="144">
        <f t="shared" si="15"/>
        <v>120</v>
      </c>
      <c r="AJ89" s="146"/>
      <c r="AK89" s="120">
        <f t="shared" si="8"/>
        <v>145329.19</v>
      </c>
    </row>
    <row r="90" spans="1:37" s="147" customFormat="1" ht="14.25" thickBot="1" x14ac:dyDescent="0.3">
      <c r="A90" s="135"/>
      <c r="B90" s="675" t="s">
        <v>130</v>
      </c>
      <c r="C90" s="676"/>
      <c r="D90" s="677"/>
      <c r="E90" s="139"/>
      <c r="F90" s="139"/>
      <c r="G90" s="139"/>
      <c r="H90" s="140"/>
      <c r="I90" s="140"/>
      <c r="J90" s="140"/>
      <c r="K90" s="139"/>
      <c r="L90" s="141"/>
      <c r="M90" s="141"/>
      <c r="N90" s="141"/>
      <c r="O90" s="141"/>
      <c r="P90" s="141"/>
      <c r="Q90" s="141"/>
      <c r="R90" s="141"/>
      <c r="S90" s="140"/>
      <c r="T90" s="139"/>
      <c r="U90" s="139"/>
      <c r="V90" s="140"/>
      <c r="W90" s="139"/>
      <c r="X90" s="139"/>
      <c r="Y90" s="139"/>
      <c r="Z90" s="140"/>
      <c r="AA90" s="139"/>
      <c r="AB90" s="142"/>
      <c r="AC90" s="86"/>
      <c r="AD90" s="86"/>
      <c r="AE90" s="86"/>
      <c r="AF90" s="86"/>
      <c r="AG90" s="86"/>
      <c r="AH90" s="86"/>
      <c r="AI90" s="86"/>
      <c r="AJ90" s="155"/>
      <c r="AK90" s="120"/>
    </row>
    <row r="91" spans="1:37" s="147" customFormat="1" ht="14.25" thickBot="1" x14ac:dyDescent="0.3">
      <c r="A91" s="166">
        <v>1</v>
      </c>
      <c r="B91" s="594" t="s">
        <v>131</v>
      </c>
      <c r="C91" s="595"/>
      <c r="D91" s="596"/>
      <c r="E91" s="167"/>
      <c r="F91" s="167"/>
      <c r="G91" s="167"/>
      <c r="H91" s="168"/>
      <c r="I91" s="168"/>
      <c r="J91" s="168"/>
      <c r="K91" s="167"/>
      <c r="L91" s="169"/>
      <c r="M91" s="169"/>
      <c r="N91" s="169"/>
      <c r="O91" s="169"/>
      <c r="P91" s="169"/>
      <c r="Q91" s="169"/>
      <c r="R91" s="169"/>
      <c r="S91" s="168"/>
      <c r="T91" s="167"/>
      <c r="U91" s="167"/>
      <c r="V91" s="168"/>
      <c r="W91" s="167"/>
      <c r="X91" s="167"/>
      <c r="Y91" s="170">
        <v>14627</v>
      </c>
      <c r="Z91" s="168"/>
      <c r="AA91" s="167"/>
      <c r="AB91" s="171"/>
      <c r="AC91" s="86"/>
      <c r="AD91" s="86"/>
      <c r="AE91" s="86"/>
      <c r="AF91" s="86"/>
      <c r="AG91" s="86"/>
      <c r="AH91" s="86"/>
      <c r="AI91" s="86"/>
      <c r="AJ91" s="155"/>
      <c r="AK91" s="120"/>
    </row>
    <row r="92" spans="1:37" s="147" customFormat="1" ht="14.25" thickBot="1" x14ac:dyDescent="0.3">
      <c r="A92" s="135"/>
      <c r="B92" s="675" t="s">
        <v>132</v>
      </c>
      <c r="C92" s="676"/>
      <c r="D92" s="677"/>
      <c r="E92" s="139"/>
      <c r="F92" s="139"/>
      <c r="G92" s="139"/>
      <c r="H92" s="140"/>
      <c r="I92" s="140"/>
      <c r="J92" s="140"/>
      <c r="K92" s="139"/>
      <c r="L92" s="141"/>
      <c r="M92" s="141"/>
      <c r="N92" s="141"/>
      <c r="O92" s="141"/>
      <c r="P92" s="141"/>
      <c r="Q92" s="141"/>
      <c r="R92" s="141"/>
      <c r="S92" s="140"/>
      <c r="T92" s="139"/>
      <c r="U92" s="139"/>
      <c r="V92" s="140"/>
      <c r="W92" s="139"/>
      <c r="X92" s="139"/>
      <c r="Y92" s="139">
        <v>14627</v>
      </c>
      <c r="Z92" s="140"/>
      <c r="AA92" s="139"/>
      <c r="AB92" s="142">
        <v>14627</v>
      </c>
      <c r="AC92" s="86"/>
      <c r="AD92" s="86"/>
      <c r="AE92" s="86"/>
      <c r="AF92" s="86"/>
      <c r="AG92" s="86"/>
      <c r="AH92" s="86"/>
      <c r="AI92" s="86"/>
      <c r="AJ92" s="155"/>
      <c r="AK92" s="120"/>
    </row>
    <row r="93" spans="1:37" s="147" customFormat="1" ht="14.25" thickBot="1" x14ac:dyDescent="0.3">
      <c r="A93" s="707" t="s">
        <v>124</v>
      </c>
      <c r="B93" s="708"/>
      <c r="C93" s="708"/>
      <c r="D93" s="709"/>
      <c r="E93" s="172"/>
      <c r="F93" s="167">
        <f>G93+H93+I93+J93</f>
        <v>1004</v>
      </c>
      <c r="G93" s="172">
        <v>1004</v>
      </c>
      <c r="H93" s="173">
        <v>0</v>
      </c>
      <c r="I93" s="173">
        <v>0</v>
      </c>
      <c r="J93" s="173">
        <v>0</v>
      </c>
      <c r="K93" s="172">
        <v>1004</v>
      </c>
      <c r="L93" s="174">
        <v>0</v>
      </c>
      <c r="M93" s="174">
        <v>0</v>
      </c>
      <c r="N93" s="174">
        <v>0</v>
      </c>
      <c r="O93" s="174">
        <v>0</v>
      </c>
      <c r="P93" s="174">
        <v>0</v>
      </c>
      <c r="Q93" s="174">
        <v>0</v>
      </c>
      <c r="R93" s="174">
        <v>0</v>
      </c>
      <c r="S93" s="173">
        <v>0</v>
      </c>
      <c r="T93" s="172"/>
      <c r="U93" s="172"/>
      <c r="V93" s="173">
        <v>794</v>
      </c>
      <c r="W93" s="172"/>
      <c r="X93" s="172"/>
      <c r="Y93" s="172">
        <v>72</v>
      </c>
      <c r="Z93" s="173">
        <v>416</v>
      </c>
      <c r="AA93" s="172"/>
      <c r="AB93" s="175">
        <f>F93+V93+Y93+Z93</f>
        <v>2286</v>
      </c>
      <c r="AC93" s="86"/>
      <c r="AD93" s="86"/>
      <c r="AE93" s="86"/>
      <c r="AF93" s="86"/>
      <c r="AG93" s="86"/>
      <c r="AH93" s="86"/>
      <c r="AI93" s="86"/>
      <c r="AJ93" s="155"/>
      <c r="AK93" s="120"/>
    </row>
    <row r="94" spans="1:37" s="147" customFormat="1" ht="14.25" thickBot="1" x14ac:dyDescent="0.3">
      <c r="A94" s="707" t="s">
        <v>133</v>
      </c>
      <c r="B94" s="708"/>
      <c r="C94" s="708"/>
      <c r="D94" s="709"/>
      <c r="E94" s="139">
        <f>E59+E89</f>
        <v>9161.42</v>
      </c>
      <c r="F94" s="139">
        <f t="shared" ref="F94:AA94" si="16">F59+F89</f>
        <v>122870.42000000001</v>
      </c>
      <c r="G94" s="139">
        <f t="shared" si="16"/>
        <v>27583.42</v>
      </c>
      <c r="H94" s="140">
        <f t="shared" si="16"/>
        <v>15407</v>
      </c>
      <c r="I94" s="140">
        <f t="shared" si="16"/>
        <v>55986</v>
      </c>
      <c r="J94" s="140">
        <f t="shared" si="16"/>
        <v>23894</v>
      </c>
      <c r="K94" s="139">
        <f t="shared" si="16"/>
        <v>27583.42</v>
      </c>
      <c r="L94" s="140">
        <f t="shared" si="16"/>
        <v>7703.5</v>
      </c>
      <c r="M94" s="140">
        <f t="shared" si="16"/>
        <v>27993</v>
      </c>
      <c r="N94" s="140">
        <f t="shared" si="16"/>
        <v>11947</v>
      </c>
      <c r="O94" s="139">
        <f t="shared" si="16"/>
        <v>75226.920000000013</v>
      </c>
      <c r="P94" s="139">
        <f t="shared" si="16"/>
        <v>7703.5</v>
      </c>
      <c r="Q94" s="140">
        <f t="shared" si="16"/>
        <v>27993</v>
      </c>
      <c r="R94" s="141">
        <f t="shared" si="16"/>
        <v>11947</v>
      </c>
      <c r="S94" s="140">
        <f t="shared" si="16"/>
        <v>47643.5</v>
      </c>
      <c r="T94" s="139">
        <f t="shared" si="16"/>
        <v>22212</v>
      </c>
      <c r="U94" s="139">
        <f t="shared" si="16"/>
        <v>0</v>
      </c>
      <c r="V94" s="140">
        <f t="shared" si="16"/>
        <v>22212</v>
      </c>
      <c r="W94" s="139">
        <f t="shared" si="16"/>
        <v>330541</v>
      </c>
      <c r="X94" s="139">
        <f t="shared" si="16"/>
        <v>0</v>
      </c>
      <c r="Y94" s="139">
        <f>Y59+Y89+Y92</f>
        <v>338535.58</v>
      </c>
      <c r="Z94" s="140">
        <f t="shared" si="16"/>
        <v>2840</v>
      </c>
      <c r="AA94" s="139">
        <f t="shared" si="16"/>
        <v>377.5</v>
      </c>
      <c r="AB94" s="142">
        <f>AB59+AB89+AB92</f>
        <v>486458</v>
      </c>
      <c r="AC94" s="86"/>
      <c r="AD94" s="86"/>
      <c r="AE94" s="86"/>
      <c r="AF94" s="86"/>
      <c r="AG94" s="86"/>
      <c r="AH94" s="86"/>
      <c r="AI94" s="86"/>
      <c r="AJ94" s="155"/>
      <c r="AK94" s="120"/>
    </row>
    <row r="95" spans="1:37" s="147" customFormat="1" ht="14.25" thickBot="1" x14ac:dyDescent="0.3">
      <c r="A95" s="702" t="s">
        <v>134</v>
      </c>
      <c r="B95" s="703"/>
      <c r="C95" s="703"/>
      <c r="D95" s="710"/>
      <c r="E95" s="139">
        <f>E60+E93</f>
        <v>0</v>
      </c>
      <c r="F95" s="139">
        <f t="shared" ref="F95:AA95" si="17">F60+F93</f>
        <v>1004</v>
      </c>
      <c r="G95" s="139">
        <f t="shared" si="17"/>
        <v>1004</v>
      </c>
      <c r="H95" s="140">
        <f t="shared" si="17"/>
        <v>0</v>
      </c>
      <c r="I95" s="140">
        <f t="shared" si="17"/>
        <v>0</v>
      </c>
      <c r="J95" s="140">
        <f t="shared" si="17"/>
        <v>0</v>
      </c>
      <c r="K95" s="139">
        <f t="shared" si="17"/>
        <v>1004</v>
      </c>
      <c r="L95" s="139">
        <f t="shared" si="17"/>
        <v>0</v>
      </c>
      <c r="M95" s="139">
        <f t="shared" si="17"/>
        <v>0</v>
      </c>
      <c r="N95" s="139">
        <f t="shared" si="17"/>
        <v>0</v>
      </c>
      <c r="O95" s="139">
        <v>1004</v>
      </c>
      <c r="P95" s="139">
        <f t="shared" si="17"/>
        <v>0</v>
      </c>
      <c r="Q95" s="140">
        <f t="shared" si="17"/>
        <v>0</v>
      </c>
      <c r="R95" s="141">
        <f t="shared" si="17"/>
        <v>0</v>
      </c>
      <c r="S95" s="140">
        <f t="shared" si="17"/>
        <v>0</v>
      </c>
      <c r="T95" s="139">
        <f t="shared" si="17"/>
        <v>0</v>
      </c>
      <c r="U95" s="139">
        <f t="shared" si="17"/>
        <v>0</v>
      </c>
      <c r="V95" s="140">
        <f t="shared" si="17"/>
        <v>2352</v>
      </c>
      <c r="W95" s="139">
        <f t="shared" si="17"/>
        <v>0</v>
      </c>
      <c r="X95" s="139">
        <f t="shared" si="17"/>
        <v>0</v>
      </c>
      <c r="Y95" s="139">
        <f t="shared" si="17"/>
        <v>114</v>
      </c>
      <c r="Z95" s="140">
        <f t="shared" si="17"/>
        <v>2840</v>
      </c>
      <c r="AA95" s="139">
        <f t="shared" si="17"/>
        <v>0</v>
      </c>
      <c r="AB95" s="142">
        <f>AB60+AB93</f>
        <v>6310</v>
      </c>
      <c r="AC95" s="86"/>
      <c r="AD95" s="86"/>
      <c r="AE95" s="86"/>
      <c r="AF95" s="86"/>
      <c r="AG95" s="86"/>
      <c r="AH95" s="86"/>
      <c r="AI95" s="86"/>
      <c r="AJ95" s="155"/>
      <c r="AK95" s="120"/>
    </row>
    <row r="96" spans="1:37" s="147" customFormat="1" ht="14.25" thickBot="1" x14ac:dyDescent="0.3">
      <c r="A96" s="702" t="s">
        <v>135</v>
      </c>
      <c r="B96" s="703"/>
      <c r="C96" s="703"/>
      <c r="D96" s="710"/>
      <c r="E96" s="139">
        <f>E94-E95</f>
        <v>9161.42</v>
      </c>
      <c r="F96" s="139">
        <f t="shared" ref="F96:AB96" si="18">F94-F95</f>
        <v>121866.42000000001</v>
      </c>
      <c r="G96" s="139">
        <f t="shared" si="18"/>
        <v>26579.42</v>
      </c>
      <c r="H96" s="140">
        <f t="shared" si="18"/>
        <v>15407</v>
      </c>
      <c r="I96" s="140">
        <f t="shared" si="18"/>
        <v>55986</v>
      </c>
      <c r="J96" s="140">
        <f t="shared" si="18"/>
        <v>23894</v>
      </c>
      <c r="K96" s="139">
        <f t="shared" si="18"/>
        <v>26579.42</v>
      </c>
      <c r="L96" s="140">
        <f t="shared" si="18"/>
        <v>7703.5</v>
      </c>
      <c r="M96" s="140">
        <f t="shared" si="18"/>
        <v>27993</v>
      </c>
      <c r="N96" s="140">
        <f t="shared" si="18"/>
        <v>11947</v>
      </c>
      <c r="O96" s="139">
        <f t="shared" si="18"/>
        <v>74222.920000000013</v>
      </c>
      <c r="P96" s="139">
        <f t="shared" si="18"/>
        <v>7703.5</v>
      </c>
      <c r="Q96" s="140">
        <f t="shared" si="18"/>
        <v>27993</v>
      </c>
      <c r="R96" s="141">
        <f t="shared" si="18"/>
        <v>11947</v>
      </c>
      <c r="S96" s="140">
        <f t="shared" si="18"/>
        <v>47643.5</v>
      </c>
      <c r="T96" s="139">
        <f t="shared" si="18"/>
        <v>22212</v>
      </c>
      <c r="U96" s="139">
        <f t="shared" si="18"/>
        <v>0</v>
      </c>
      <c r="V96" s="140">
        <f t="shared" si="18"/>
        <v>19860</v>
      </c>
      <c r="W96" s="139">
        <f t="shared" si="18"/>
        <v>330541</v>
      </c>
      <c r="X96" s="139">
        <f t="shared" si="18"/>
        <v>0</v>
      </c>
      <c r="Y96" s="139">
        <f t="shared" si="18"/>
        <v>338421.58</v>
      </c>
      <c r="Z96" s="140">
        <f t="shared" si="18"/>
        <v>0</v>
      </c>
      <c r="AA96" s="139">
        <f t="shared" si="18"/>
        <v>377.5</v>
      </c>
      <c r="AB96" s="142">
        <f t="shared" si="18"/>
        <v>480148</v>
      </c>
      <c r="AC96" s="86"/>
      <c r="AD96" s="86"/>
      <c r="AE96" s="86"/>
      <c r="AF96" s="86"/>
      <c r="AG96" s="86"/>
      <c r="AH96" s="86"/>
      <c r="AI96" s="86"/>
      <c r="AJ96" s="155"/>
      <c r="AK96" s="120"/>
    </row>
    <row r="97" spans="1:37" s="147" customFormat="1" ht="14.25" thickBot="1" x14ac:dyDescent="0.3">
      <c r="A97" s="86"/>
      <c r="B97" s="176"/>
      <c r="C97" s="176"/>
      <c r="D97" s="176"/>
      <c r="E97" s="59"/>
      <c r="F97" s="59"/>
      <c r="G97" s="59"/>
      <c r="H97" s="86"/>
      <c r="I97" s="86"/>
      <c r="J97" s="86"/>
      <c r="K97" s="59"/>
      <c r="L97" s="59"/>
      <c r="M97" s="59"/>
      <c r="N97" s="59"/>
      <c r="O97" s="59"/>
      <c r="P97" s="59"/>
      <c r="Q97" s="88"/>
      <c r="R97" s="88"/>
      <c r="S97" s="86"/>
      <c r="T97" s="59"/>
      <c r="U97" s="59"/>
      <c r="V97" s="59"/>
      <c r="W97" s="59"/>
      <c r="X97" s="59"/>
      <c r="Y97" s="59"/>
      <c r="Z97" s="59"/>
      <c r="AA97" s="59"/>
      <c r="AB97" s="59"/>
      <c r="AC97" s="86"/>
      <c r="AD97" s="86"/>
      <c r="AE97" s="86"/>
      <c r="AF97" s="86"/>
      <c r="AG97" s="86"/>
      <c r="AH97" s="86"/>
      <c r="AI97" s="86"/>
      <c r="AJ97" s="155"/>
      <c r="AK97" s="120"/>
    </row>
    <row r="98" spans="1:37" s="109" customFormat="1" ht="14.25" thickBot="1" x14ac:dyDescent="0.3">
      <c r="A98" s="159"/>
      <c r="B98" s="150" t="s">
        <v>136</v>
      </c>
      <c r="C98" s="150"/>
      <c r="D98" s="150"/>
      <c r="E98" s="105"/>
      <c r="F98" s="105"/>
      <c r="G98" s="105"/>
      <c r="H98" s="106"/>
      <c r="I98" s="106"/>
      <c r="J98" s="106"/>
      <c r="K98" s="105"/>
      <c r="L98" s="107"/>
      <c r="M98" s="107"/>
      <c r="N98" s="107"/>
      <c r="O98" s="107"/>
      <c r="P98" s="107"/>
      <c r="Q98" s="107"/>
      <c r="R98" s="107"/>
      <c r="S98" s="106"/>
      <c r="T98" s="105"/>
      <c r="U98" s="105"/>
      <c r="V98" s="106"/>
      <c r="W98" s="105"/>
      <c r="X98" s="105"/>
      <c r="Y98" s="105"/>
      <c r="Z98" s="106"/>
      <c r="AA98" s="105"/>
      <c r="AB98" s="108"/>
      <c r="AC98" s="76"/>
      <c r="AD98" s="76"/>
      <c r="AE98" s="76"/>
      <c r="AF98" s="76"/>
      <c r="AG98" s="76"/>
      <c r="AH98" s="76"/>
      <c r="AI98" s="76"/>
      <c r="AK98" s="120"/>
    </row>
    <row r="99" spans="1:37" s="109" customFormat="1" ht="13.5" x14ac:dyDescent="0.25">
      <c r="A99" s="111">
        <v>1</v>
      </c>
      <c r="B99" s="177" t="s">
        <v>137</v>
      </c>
      <c r="C99" s="177">
        <v>2</v>
      </c>
      <c r="D99" s="177"/>
      <c r="E99" s="160">
        <f>109</f>
        <v>109</v>
      </c>
      <c r="F99" s="160">
        <f>1343+E99</f>
        <v>1452</v>
      </c>
      <c r="G99" s="160">
        <v>304</v>
      </c>
      <c r="H99" s="161">
        <v>73</v>
      </c>
      <c r="I99" s="161">
        <f>135-117</f>
        <v>18</v>
      </c>
      <c r="J99" s="161">
        <v>1057</v>
      </c>
      <c r="K99" s="113">
        <f t="shared" si="13"/>
        <v>304</v>
      </c>
      <c r="L99" s="115">
        <f t="shared" si="10"/>
        <v>36.5</v>
      </c>
      <c r="M99" s="115">
        <f t="shared" si="10"/>
        <v>9</v>
      </c>
      <c r="N99" s="115">
        <f t="shared" si="10"/>
        <v>528.5</v>
      </c>
      <c r="O99" s="115">
        <f t="shared" si="11"/>
        <v>878</v>
      </c>
      <c r="P99" s="115">
        <f t="shared" si="12"/>
        <v>36.5</v>
      </c>
      <c r="Q99" s="115">
        <f t="shared" si="12"/>
        <v>9</v>
      </c>
      <c r="R99" s="115">
        <f t="shared" si="12"/>
        <v>528.5</v>
      </c>
      <c r="S99" s="114">
        <f t="shared" si="14"/>
        <v>574</v>
      </c>
      <c r="T99" s="160"/>
      <c r="U99" s="160"/>
      <c r="V99" s="161">
        <v>0</v>
      </c>
      <c r="W99" s="160">
        <v>2160</v>
      </c>
      <c r="X99" s="160"/>
      <c r="Y99" s="160">
        <f>2160-E99</f>
        <v>2051</v>
      </c>
      <c r="Z99" s="161">
        <v>93</v>
      </c>
      <c r="AA99" s="113">
        <v>14</v>
      </c>
      <c r="AB99" s="116">
        <v>3596</v>
      </c>
      <c r="AC99" s="117"/>
      <c r="AD99" s="118">
        <f t="shared" ref="AD99:AD162" si="19">O99-AC99</f>
        <v>878</v>
      </c>
      <c r="AE99" s="118"/>
      <c r="AF99" s="118" t="e">
        <f>#REF!-AE99</f>
        <v>#REF!</v>
      </c>
      <c r="AG99" s="118"/>
      <c r="AH99" s="118" t="e">
        <f>#REF!-AG99</f>
        <v>#REF!</v>
      </c>
      <c r="AI99" s="118">
        <v>14</v>
      </c>
      <c r="AJ99" s="119"/>
      <c r="AK99" s="120">
        <f t="shared" ref="AK99:AK162" si="20">O99+S99+T99+W99</f>
        <v>3612</v>
      </c>
    </row>
    <row r="100" spans="1:37" s="109" customFormat="1" ht="13.5" x14ac:dyDescent="0.25">
      <c r="A100" s="121">
        <v>2</v>
      </c>
      <c r="B100" s="122" t="s">
        <v>137</v>
      </c>
      <c r="C100" s="122">
        <v>5</v>
      </c>
      <c r="D100" s="122"/>
      <c r="E100" s="160">
        <f>177.3</f>
        <v>177.3</v>
      </c>
      <c r="F100" s="160">
        <f>690+E100</f>
        <v>867.3</v>
      </c>
      <c r="G100" s="160">
        <v>229.3</v>
      </c>
      <c r="H100" s="161"/>
      <c r="I100" s="161">
        <v>638</v>
      </c>
      <c r="J100" s="161"/>
      <c r="K100" s="123">
        <f t="shared" si="13"/>
        <v>229.3</v>
      </c>
      <c r="L100" s="124">
        <f t="shared" si="10"/>
        <v>0</v>
      </c>
      <c r="M100" s="124">
        <f t="shared" si="10"/>
        <v>319</v>
      </c>
      <c r="N100" s="124">
        <f t="shared" si="10"/>
        <v>0</v>
      </c>
      <c r="O100" s="124">
        <f t="shared" si="11"/>
        <v>548.29999999999995</v>
      </c>
      <c r="P100" s="124">
        <f t="shared" si="12"/>
        <v>0</v>
      </c>
      <c r="Q100" s="124">
        <f t="shared" si="12"/>
        <v>319</v>
      </c>
      <c r="R100" s="124">
        <f t="shared" si="12"/>
        <v>0</v>
      </c>
      <c r="S100" s="118">
        <f t="shared" si="14"/>
        <v>319</v>
      </c>
      <c r="T100" s="160">
        <v>25</v>
      </c>
      <c r="U100" s="160"/>
      <c r="V100" s="161">
        <v>25</v>
      </c>
      <c r="W100" s="160">
        <v>4708</v>
      </c>
      <c r="X100" s="160"/>
      <c r="Y100" s="160">
        <f>4708-E100</f>
        <v>4530.7</v>
      </c>
      <c r="Z100" s="161">
        <v>0</v>
      </c>
      <c r="AA100" s="123">
        <v>10.5</v>
      </c>
      <c r="AB100" s="125">
        <v>5423</v>
      </c>
      <c r="AC100" s="117"/>
      <c r="AD100" s="118">
        <f t="shared" si="19"/>
        <v>548.29999999999995</v>
      </c>
      <c r="AE100" s="118"/>
      <c r="AF100" s="118" t="e">
        <f>#REF!-AE100</f>
        <v>#REF!</v>
      </c>
      <c r="AG100" s="118"/>
      <c r="AH100" s="118" t="e">
        <f>#REF!-AG100</f>
        <v>#REF!</v>
      </c>
      <c r="AI100" s="118">
        <v>11</v>
      </c>
      <c r="AJ100" s="119"/>
      <c r="AK100" s="120">
        <f t="shared" si="20"/>
        <v>5600.3</v>
      </c>
    </row>
    <row r="101" spans="1:37" s="109" customFormat="1" ht="13.5" x14ac:dyDescent="0.25">
      <c r="A101" s="121">
        <v>3</v>
      </c>
      <c r="B101" s="122" t="s">
        <v>137</v>
      </c>
      <c r="C101" s="122">
        <v>7</v>
      </c>
      <c r="D101" s="122"/>
      <c r="E101" s="160">
        <f>173.91</f>
        <v>173.91</v>
      </c>
      <c r="F101" s="160">
        <f>919+E101</f>
        <v>1092.9100000000001</v>
      </c>
      <c r="G101" s="160">
        <f>221+12+E101</f>
        <v>406.90999999999997</v>
      </c>
      <c r="H101" s="161">
        <v>40</v>
      </c>
      <c r="I101" s="161">
        <f>498-175</f>
        <v>323</v>
      </c>
      <c r="J101" s="161">
        <f>323</f>
        <v>323</v>
      </c>
      <c r="K101" s="123">
        <f t="shared" si="13"/>
        <v>406.90999999999997</v>
      </c>
      <c r="L101" s="124">
        <f t="shared" si="10"/>
        <v>20</v>
      </c>
      <c r="M101" s="124">
        <f t="shared" si="10"/>
        <v>161.5</v>
      </c>
      <c r="N101" s="124">
        <f t="shared" si="10"/>
        <v>161.5</v>
      </c>
      <c r="O101" s="124">
        <f t="shared" si="11"/>
        <v>749.91</v>
      </c>
      <c r="P101" s="124">
        <f t="shared" si="12"/>
        <v>20</v>
      </c>
      <c r="Q101" s="124">
        <f t="shared" si="12"/>
        <v>161.5</v>
      </c>
      <c r="R101" s="124">
        <f t="shared" si="12"/>
        <v>161.5</v>
      </c>
      <c r="S101" s="118">
        <f t="shared" si="14"/>
        <v>343</v>
      </c>
      <c r="T101" s="160">
        <f>142+435</f>
        <v>577</v>
      </c>
      <c r="U101" s="160"/>
      <c r="V101" s="161">
        <v>577</v>
      </c>
      <c r="W101" s="160">
        <v>6348</v>
      </c>
      <c r="X101" s="160"/>
      <c r="Y101" s="160">
        <f>6348-E101</f>
        <v>6174.09</v>
      </c>
      <c r="Z101" s="161">
        <v>16</v>
      </c>
      <c r="AA101" s="123"/>
      <c r="AB101" s="125">
        <v>7860</v>
      </c>
      <c r="AC101" s="117"/>
      <c r="AD101" s="118">
        <f t="shared" si="19"/>
        <v>749.91</v>
      </c>
      <c r="AE101" s="118"/>
      <c r="AF101" s="118" t="e">
        <f>#REF!-AE101</f>
        <v>#REF!</v>
      </c>
      <c r="AG101" s="118"/>
      <c r="AH101" s="118" t="e">
        <f>#REF!-AG101</f>
        <v>#REF!</v>
      </c>
      <c r="AI101" s="118"/>
      <c r="AJ101" s="119"/>
      <c r="AK101" s="120">
        <f t="shared" si="20"/>
        <v>8017.91</v>
      </c>
    </row>
    <row r="102" spans="1:37" s="109" customFormat="1" ht="13.5" x14ac:dyDescent="0.25">
      <c r="A102" s="121">
        <v>4</v>
      </c>
      <c r="B102" s="122" t="s">
        <v>137</v>
      </c>
      <c r="C102" s="122">
        <v>8</v>
      </c>
      <c r="D102" s="122"/>
      <c r="E102" s="160">
        <f>118.35+671.78</f>
        <v>790.13</v>
      </c>
      <c r="F102" s="160">
        <f>1888+E102</f>
        <v>2678.13</v>
      </c>
      <c r="G102" s="160">
        <f>82+E102</f>
        <v>872.13</v>
      </c>
      <c r="H102" s="161">
        <v>738</v>
      </c>
      <c r="I102" s="161">
        <v>730</v>
      </c>
      <c r="J102" s="161">
        <f>338</f>
        <v>338</v>
      </c>
      <c r="K102" s="123">
        <f t="shared" si="13"/>
        <v>872.13</v>
      </c>
      <c r="L102" s="124">
        <f t="shared" si="10"/>
        <v>369</v>
      </c>
      <c r="M102" s="124">
        <f t="shared" si="10"/>
        <v>365</v>
      </c>
      <c r="N102" s="124">
        <f t="shared" si="10"/>
        <v>169</v>
      </c>
      <c r="O102" s="124">
        <f t="shared" si="11"/>
        <v>1775.13</v>
      </c>
      <c r="P102" s="124">
        <f t="shared" si="12"/>
        <v>369</v>
      </c>
      <c r="Q102" s="124">
        <f t="shared" si="12"/>
        <v>365</v>
      </c>
      <c r="R102" s="124">
        <f t="shared" si="12"/>
        <v>169</v>
      </c>
      <c r="S102" s="118">
        <f t="shared" si="14"/>
        <v>903</v>
      </c>
      <c r="T102" s="160"/>
      <c r="U102" s="160"/>
      <c r="V102" s="161">
        <v>0</v>
      </c>
      <c r="W102" s="160">
        <v>3301</v>
      </c>
      <c r="X102" s="160"/>
      <c r="Y102" s="160">
        <f>3301-E102</f>
        <v>2510.87</v>
      </c>
      <c r="Z102" s="161">
        <v>6</v>
      </c>
      <c r="AA102" s="123">
        <v>14</v>
      </c>
      <c r="AB102" s="125">
        <v>5195</v>
      </c>
      <c r="AC102" s="117"/>
      <c r="AD102" s="118">
        <f t="shared" si="19"/>
        <v>1775.13</v>
      </c>
      <c r="AE102" s="118"/>
      <c r="AF102" s="118" t="e">
        <f>#REF!-AE102</f>
        <v>#REF!</v>
      </c>
      <c r="AG102" s="118">
        <v>96</v>
      </c>
      <c r="AH102" s="118" t="e">
        <f>#REF!-AG102</f>
        <v>#REF!</v>
      </c>
      <c r="AI102" s="118">
        <v>14</v>
      </c>
      <c r="AJ102" s="119"/>
      <c r="AK102" s="120">
        <f t="shared" si="20"/>
        <v>5979.13</v>
      </c>
    </row>
    <row r="103" spans="1:37" s="109" customFormat="1" ht="13.5" x14ac:dyDescent="0.25">
      <c r="A103" s="121">
        <v>5</v>
      </c>
      <c r="B103" s="122" t="s">
        <v>137</v>
      </c>
      <c r="C103" s="122">
        <v>9</v>
      </c>
      <c r="D103" s="122"/>
      <c r="E103" s="160"/>
      <c r="F103" s="160">
        <v>1046</v>
      </c>
      <c r="G103" s="160">
        <f>69+209</f>
        <v>278</v>
      </c>
      <c r="H103" s="161">
        <v>44</v>
      </c>
      <c r="I103" s="161">
        <f>876-209</f>
        <v>667</v>
      </c>
      <c r="J103" s="161">
        <v>57</v>
      </c>
      <c r="K103" s="123">
        <f t="shared" si="13"/>
        <v>278</v>
      </c>
      <c r="L103" s="124">
        <f t="shared" si="10"/>
        <v>22</v>
      </c>
      <c r="M103" s="124">
        <f t="shared" si="10"/>
        <v>333.5</v>
      </c>
      <c r="N103" s="124">
        <f t="shared" si="10"/>
        <v>28.5</v>
      </c>
      <c r="O103" s="124">
        <f t="shared" si="11"/>
        <v>662</v>
      </c>
      <c r="P103" s="124">
        <f t="shared" si="12"/>
        <v>22</v>
      </c>
      <c r="Q103" s="124">
        <f t="shared" si="12"/>
        <v>333.5</v>
      </c>
      <c r="R103" s="124">
        <f t="shared" si="12"/>
        <v>28.5</v>
      </c>
      <c r="S103" s="118">
        <f t="shared" si="14"/>
        <v>384</v>
      </c>
      <c r="T103" s="160">
        <f>64+40</f>
        <v>104</v>
      </c>
      <c r="U103" s="160"/>
      <c r="V103" s="161">
        <v>104</v>
      </c>
      <c r="W103" s="160">
        <v>4639</v>
      </c>
      <c r="X103" s="160"/>
      <c r="Y103" s="160">
        <v>4639</v>
      </c>
      <c r="Z103" s="161">
        <v>9</v>
      </c>
      <c r="AA103" s="123">
        <v>10.5</v>
      </c>
      <c r="AB103" s="125">
        <v>5798</v>
      </c>
      <c r="AC103" s="117"/>
      <c r="AD103" s="118">
        <f t="shared" si="19"/>
        <v>662</v>
      </c>
      <c r="AE103" s="118"/>
      <c r="AF103" s="118" t="e">
        <f>#REF!-AE103</f>
        <v>#REF!</v>
      </c>
      <c r="AG103" s="118">
        <v>42</v>
      </c>
      <c r="AH103" s="118" t="e">
        <f>#REF!-AG103</f>
        <v>#REF!</v>
      </c>
      <c r="AI103" s="118">
        <v>11</v>
      </c>
      <c r="AJ103" s="119"/>
      <c r="AK103" s="120">
        <f t="shared" si="20"/>
        <v>5789</v>
      </c>
    </row>
    <row r="104" spans="1:37" s="109" customFormat="1" ht="13.5" x14ac:dyDescent="0.25">
      <c r="A104" s="121">
        <v>6</v>
      </c>
      <c r="B104" s="122" t="s">
        <v>137</v>
      </c>
      <c r="C104" s="122">
        <v>10</v>
      </c>
      <c r="D104" s="122"/>
      <c r="E104" s="160"/>
      <c r="F104" s="160">
        <v>813</v>
      </c>
      <c r="G104" s="160">
        <f>67</f>
        <v>67</v>
      </c>
      <c r="H104" s="161">
        <v>164</v>
      </c>
      <c r="I104" s="161">
        <v>502</v>
      </c>
      <c r="J104" s="161">
        <v>80</v>
      </c>
      <c r="K104" s="123">
        <f t="shared" si="13"/>
        <v>67</v>
      </c>
      <c r="L104" s="124">
        <f t="shared" si="10"/>
        <v>82</v>
      </c>
      <c r="M104" s="124">
        <f t="shared" si="10"/>
        <v>251</v>
      </c>
      <c r="N104" s="124">
        <f t="shared" si="10"/>
        <v>40</v>
      </c>
      <c r="O104" s="124">
        <f t="shared" si="11"/>
        <v>440</v>
      </c>
      <c r="P104" s="124">
        <f t="shared" si="12"/>
        <v>82</v>
      </c>
      <c r="Q104" s="124">
        <f t="shared" si="12"/>
        <v>251</v>
      </c>
      <c r="R104" s="124">
        <f t="shared" si="12"/>
        <v>40</v>
      </c>
      <c r="S104" s="118">
        <f t="shared" si="14"/>
        <v>373</v>
      </c>
      <c r="T104" s="160">
        <v>237</v>
      </c>
      <c r="U104" s="160"/>
      <c r="V104" s="161">
        <v>237</v>
      </c>
      <c r="W104" s="160">
        <v>1837</v>
      </c>
      <c r="X104" s="160"/>
      <c r="Y104" s="160">
        <v>1837</v>
      </c>
      <c r="Z104" s="161">
        <v>0</v>
      </c>
      <c r="AA104" s="123"/>
      <c r="AB104" s="125">
        <v>2887</v>
      </c>
      <c r="AC104" s="117"/>
      <c r="AD104" s="118">
        <f t="shared" si="19"/>
        <v>440</v>
      </c>
      <c r="AE104" s="118"/>
      <c r="AF104" s="118" t="e">
        <f>#REF!-AE104</f>
        <v>#REF!</v>
      </c>
      <c r="AG104" s="118">
        <v>66</v>
      </c>
      <c r="AH104" s="118" t="e">
        <f>#REF!-AG104</f>
        <v>#REF!</v>
      </c>
      <c r="AI104" s="118"/>
      <c r="AJ104" s="119"/>
      <c r="AK104" s="120">
        <f t="shared" si="20"/>
        <v>2887</v>
      </c>
    </row>
    <row r="105" spans="1:37" s="109" customFormat="1" ht="13.5" x14ac:dyDescent="0.25">
      <c r="A105" s="121">
        <v>7</v>
      </c>
      <c r="B105" s="122" t="s">
        <v>137</v>
      </c>
      <c r="C105" s="122">
        <v>11</v>
      </c>
      <c r="D105" s="122"/>
      <c r="E105" s="160"/>
      <c r="F105" s="160">
        <v>967</v>
      </c>
      <c r="G105" s="160">
        <f>69+102</f>
        <v>171</v>
      </c>
      <c r="H105" s="161">
        <v>40</v>
      </c>
      <c r="I105" s="161"/>
      <c r="J105" s="161">
        <v>756</v>
      </c>
      <c r="K105" s="123">
        <f t="shared" si="13"/>
        <v>171</v>
      </c>
      <c r="L105" s="124">
        <f t="shared" si="10"/>
        <v>20</v>
      </c>
      <c r="M105" s="124">
        <f t="shared" si="10"/>
        <v>0</v>
      </c>
      <c r="N105" s="124">
        <f t="shared" si="10"/>
        <v>378</v>
      </c>
      <c r="O105" s="124">
        <f t="shared" si="11"/>
        <v>569</v>
      </c>
      <c r="P105" s="124">
        <f t="shared" si="12"/>
        <v>20</v>
      </c>
      <c r="Q105" s="124">
        <f t="shared" si="12"/>
        <v>0</v>
      </c>
      <c r="R105" s="124">
        <f t="shared" si="12"/>
        <v>378</v>
      </c>
      <c r="S105" s="118">
        <f t="shared" si="14"/>
        <v>398</v>
      </c>
      <c r="T105" s="160">
        <v>294</v>
      </c>
      <c r="U105" s="160"/>
      <c r="V105" s="161">
        <v>294</v>
      </c>
      <c r="W105" s="160">
        <v>2718</v>
      </c>
      <c r="X105" s="160"/>
      <c r="Y105" s="160">
        <v>2718</v>
      </c>
      <c r="Z105" s="161">
        <v>0</v>
      </c>
      <c r="AA105" s="123"/>
      <c r="AB105" s="125">
        <v>3979</v>
      </c>
      <c r="AC105" s="117"/>
      <c r="AD105" s="118">
        <f t="shared" si="19"/>
        <v>569</v>
      </c>
      <c r="AE105" s="118"/>
      <c r="AF105" s="118" t="e">
        <f>#REF!-AE105</f>
        <v>#REF!</v>
      </c>
      <c r="AG105" s="118">
        <v>24</v>
      </c>
      <c r="AH105" s="118" t="e">
        <f>#REF!-AG105</f>
        <v>#REF!</v>
      </c>
      <c r="AI105" s="118"/>
      <c r="AJ105" s="119"/>
      <c r="AK105" s="120">
        <f t="shared" si="20"/>
        <v>3979</v>
      </c>
    </row>
    <row r="106" spans="1:37" s="109" customFormat="1" ht="13.5" x14ac:dyDescent="0.25">
      <c r="A106" s="121">
        <v>8</v>
      </c>
      <c r="B106" s="122" t="s">
        <v>137</v>
      </c>
      <c r="C106" s="122">
        <v>13</v>
      </c>
      <c r="D106" s="122"/>
      <c r="E106" s="160">
        <f>177.48</f>
        <v>177.48</v>
      </c>
      <c r="F106" s="160">
        <f>2205+E106</f>
        <v>2382.48</v>
      </c>
      <c r="G106" s="160">
        <v>377.48</v>
      </c>
      <c r="H106" s="161">
        <v>121</v>
      </c>
      <c r="I106" s="161">
        <v>278</v>
      </c>
      <c r="J106" s="161">
        <v>1606</v>
      </c>
      <c r="K106" s="123">
        <f t="shared" si="13"/>
        <v>377.48</v>
      </c>
      <c r="L106" s="124">
        <f t="shared" si="10"/>
        <v>60.5</v>
      </c>
      <c r="M106" s="124">
        <f t="shared" si="10"/>
        <v>139</v>
      </c>
      <c r="N106" s="124">
        <f t="shared" si="10"/>
        <v>803</v>
      </c>
      <c r="O106" s="124">
        <f t="shared" si="11"/>
        <v>1379.98</v>
      </c>
      <c r="P106" s="124">
        <f t="shared" si="12"/>
        <v>60.5</v>
      </c>
      <c r="Q106" s="124">
        <f t="shared" si="12"/>
        <v>139</v>
      </c>
      <c r="R106" s="124">
        <f t="shared" si="12"/>
        <v>803</v>
      </c>
      <c r="S106" s="118">
        <f t="shared" si="14"/>
        <v>1002.5</v>
      </c>
      <c r="T106" s="160">
        <v>140</v>
      </c>
      <c r="U106" s="160"/>
      <c r="V106" s="161">
        <v>140</v>
      </c>
      <c r="W106" s="160">
        <v>3876</v>
      </c>
      <c r="X106" s="160"/>
      <c r="Y106" s="160">
        <f>3876-E106</f>
        <v>3698.52</v>
      </c>
      <c r="Z106" s="161">
        <v>0</v>
      </c>
      <c r="AA106" s="123">
        <v>7</v>
      </c>
      <c r="AB106" s="125">
        <v>6221</v>
      </c>
      <c r="AC106" s="178">
        <v>42</v>
      </c>
      <c r="AD106" s="118">
        <f t="shared" si="19"/>
        <v>1337.98</v>
      </c>
      <c r="AE106" s="118"/>
      <c r="AF106" s="118" t="e">
        <f>#REF!-AE106</f>
        <v>#REF!</v>
      </c>
      <c r="AG106" s="118">
        <v>6</v>
      </c>
      <c r="AH106" s="118" t="e">
        <f>#REF!-AG106</f>
        <v>#REF!</v>
      </c>
      <c r="AI106" s="118">
        <v>7</v>
      </c>
      <c r="AJ106" s="119"/>
      <c r="AK106" s="120">
        <f t="shared" si="20"/>
        <v>6398.48</v>
      </c>
    </row>
    <row r="107" spans="1:37" s="109" customFormat="1" ht="13.5" x14ac:dyDescent="0.25">
      <c r="A107" s="121">
        <v>9</v>
      </c>
      <c r="B107" s="122" t="s">
        <v>137</v>
      </c>
      <c r="C107" s="122">
        <v>15</v>
      </c>
      <c r="D107" s="122"/>
      <c r="E107" s="160"/>
      <c r="F107" s="160">
        <v>2367</v>
      </c>
      <c r="G107" s="160">
        <f>224</f>
        <v>224</v>
      </c>
      <c r="H107" s="161">
        <v>239</v>
      </c>
      <c r="I107" s="161">
        <f>1648</f>
        <v>1648</v>
      </c>
      <c r="J107" s="161">
        <v>256</v>
      </c>
      <c r="K107" s="123">
        <f t="shared" si="13"/>
        <v>224</v>
      </c>
      <c r="L107" s="124">
        <f t="shared" si="10"/>
        <v>119.5</v>
      </c>
      <c r="M107" s="124">
        <f t="shared" si="10"/>
        <v>824</v>
      </c>
      <c r="N107" s="124">
        <f t="shared" si="10"/>
        <v>128</v>
      </c>
      <c r="O107" s="124">
        <f t="shared" si="11"/>
        <v>1295.5</v>
      </c>
      <c r="P107" s="124">
        <f t="shared" si="12"/>
        <v>119.5</v>
      </c>
      <c r="Q107" s="124">
        <f t="shared" si="12"/>
        <v>824</v>
      </c>
      <c r="R107" s="124">
        <f t="shared" si="12"/>
        <v>128</v>
      </c>
      <c r="S107" s="118">
        <f t="shared" si="14"/>
        <v>1071.5</v>
      </c>
      <c r="T107" s="160">
        <f>86</f>
        <v>86</v>
      </c>
      <c r="U107" s="160"/>
      <c r="V107" s="161">
        <v>86</v>
      </c>
      <c r="W107" s="160">
        <v>7872</v>
      </c>
      <c r="X107" s="160"/>
      <c r="Y107" s="160">
        <v>7872</v>
      </c>
      <c r="Z107" s="161">
        <v>0</v>
      </c>
      <c r="AA107" s="123">
        <v>10.5</v>
      </c>
      <c r="AB107" s="125">
        <v>10325</v>
      </c>
      <c r="AC107" s="178">
        <v>36</v>
      </c>
      <c r="AD107" s="118">
        <f t="shared" si="19"/>
        <v>1259.5</v>
      </c>
      <c r="AE107" s="118"/>
      <c r="AF107" s="118" t="e">
        <f>#REF!-AE107</f>
        <v>#REF!</v>
      </c>
      <c r="AG107" s="118"/>
      <c r="AH107" s="118" t="e">
        <f>#REF!-AG107</f>
        <v>#REF!</v>
      </c>
      <c r="AI107" s="118">
        <v>11</v>
      </c>
      <c r="AJ107" s="119"/>
      <c r="AK107" s="120">
        <f t="shared" si="20"/>
        <v>10325</v>
      </c>
    </row>
    <row r="108" spans="1:37" s="109" customFormat="1" ht="13.5" x14ac:dyDescent="0.25">
      <c r="A108" s="121">
        <v>10</v>
      </c>
      <c r="B108" s="122" t="s">
        <v>137</v>
      </c>
      <c r="C108" s="122">
        <v>17</v>
      </c>
      <c r="D108" s="122">
        <v>2</v>
      </c>
      <c r="E108" s="160">
        <f>645.48+60.5</f>
        <v>705.98</v>
      </c>
      <c r="F108" s="160">
        <f>1313+E108</f>
        <v>2018.98</v>
      </c>
      <c r="G108" s="160">
        <f>129+E108</f>
        <v>834.98</v>
      </c>
      <c r="H108" s="161">
        <v>125</v>
      </c>
      <c r="I108" s="161">
        <v>284</v>
      </c>
      <c r="J108" s="161">
        <v>775</v>
      </c>
      <c r="K108" s="123">
        <f t="shared" si="13"/>
        <v>834.98</v>
      </c>
      <c r="L108" s="124">
        <f t="shared" si="10"/>
        <v>62.5</v>
      </c>
      <c r="M108" s="124">
        <f t="shared" si="10"/>
        <v>142</v>
      </c>
      <c r="N108" s="124">
        <f t="shared" si="10"/>
        <v>387.5</v>
      </c>
      <c r="O108" s="124">
        <f t="shared" si="11"/>
        <v>1426.98</v>
      </c>
      <c r="P108" s="124">
        <f t="shared" si="12"/>
        <v>62.5</v>
      </c>
      <c r="Q108" s="124">
        <f t="shared" si="12"/>
        <v>142</v>
      </c>
      <c r="R108" s="124">
        <f t="shared" si="12"/>
        <v>387.5</v>
      </c>
      <c r="S108" s="118">
        <f t="shared" si="14"/>
        <v>592</v>
      </c>
      <c r="T108" s="160">
        <v>257</v>
      </c>
      <c r="U108" s="160"/>
      <c r="V108" s="161">
        <v>257</v>
      </c>
      <c r="W108" s="160">
        <v>1920</v>
      </c>
      <c r="X108" s="160"/>
      <c r="Y108" s="160">
        <f>1920-E108</f>
        <v>1214.02</v>
      </c>
      <c r="Z108" s="161">
        <v>0</v>
      </c>
      <c r="AA108" s="123"/>
      <c r="AB108" s="125">
        <v>3490</v>
      </c>
      <c r="AC108" s="178">
        <v>48</v>
      </c>
      <c r="AD108" s="118">
        <f t="shared" si="19"/>
        <v>1378.98</v>
      </c>
      <c r="AE108" s="118"/>
      <c r="AF108" s="118" t="e">
        <f>#REF!-AE108</f>
        <v>#REF!</v>
      </c>
      <c r="AG108" s="118">
        <v>156</v>
      </c>
      <c r="AH108" s="118" t="e">
        <f>#REF!-AG108</f>
        <v>#REF!</v>
      </c>
      <c r="AI108" s="118"/>
      <c r="AJ108" s="119"/>
      <c r="AK108" s="120">
        <f t="shared" si="20"/>
        <v>4195.9799999999996</v>
      </c>
    </row>
    <row r="109" spans="1:37" s="109" customFormat="1" ht="13.5" x14ac:dyDescent="0.25">
      <c r="A109" s="121">
        <v>11</v>
      </c>
      <c r="B109" s="122" t="s">
        <v>137</v>
      </c>
      <c r="C109" s="122">
        <v>18</v>
      </c>
      <c r="D109" s="122"/>
      <c r="E109" s="160">
        <f>632.27</f>
        <v>632.27</v>
      </c>
      <c r="F109" s="160">
        <f>1739+E109</f>
        <v>2371.27</v>
      </c>
      <c r="G109" s="160">
        <v>963.27</v>
      </c>
      <c r="H109" s="161">
        <v>127</v>
      </c>
      <c r="I109" s="161">
        <f>555-51</f>
        <v>504</v>
      </c>
      <c r="J109" s="161">
        <v>777</v>
      </c>
      <c r="K109" s="123">
        <f t="shared" si="13"/>
        <v>963.27</v>
      </c>
      <c r="L109" s="124">
        <f t="shared" si="10"/>
        <v>63.5</v>
      </c>
      <c r="M109" s="124">
        <f t="shared" si="10"/>
        <v>252</v>
      </c>
      <c r="N109" s="124">
        <f t="shared" si="10"/>
        <v>388.5</v>
      </c>
      <c r="O109" s="124">
        <f t="shared" si="11"/>
        <v>1667.27</v>
      </c>
      <c r="P109" s="124">
        <f t="shared" si="12"/>
        <v>63.5</v>
      </c>
      <c r="Q109" s="124">
        <f t="shared" si="12"/>
        <v>252</v>
      </c>
      <c r="R109" s="124">
        <f t="shared" si="12"/>
        <v>388.5</v>
      </c>
      <c r="S109" s="118">
        <f t="shared" si="14"/>
        <v>704</v>
      </c>
      <c r="T109" s="160">
        <v>113</v>
      </c>
      <c r="U109" s="160"/>
      <c r="V109" s="161">
        <v>113</v>
      </c>
      <c r="W109" s="160">
        <v>2674</v>
      </c>
      <c r="X109" s="160"/>
      <c r="Y109" s="160">
        <f>2674-E109</f>
        <v>2041.73</v>
      </c>
      <c r="Z109" s="161">
        <v>0</v>
      </c>
      <c r="AA109" s="123"/>
      <c r="AB109" s="125">
        <v>4526</v>
      </c>
      <c r="AC109" s="178">
        <v>60</v>
      </c>
      <c r="AD109" s="118">
        <f t="shared" si="19"/>
        <v>1607.27</v>
      </c>
      <c r="AE109" s="118"/>
      <c r="AF109" s="118" t="e">
        <f>#REF!-AE109</f>
        <v>#REF!</v>
      </c>
      <c r="AG109" s="118">
        <v>66</v>
      </c>
      <c r="AH109" s="118" t="e">
        <f>#REF!-AG109</f>
        <v>#REF!</v>
      </c>
      <c r="AI109" s="118"/>
      <c r="AJ109" s="119"/>
      <c r="AK109" s="120">
        <f t="shared" si="20"/>
        <v>5158.2700000000004</v>
      </c>
    </row>
    <row r="110" spans="1:37" s="109" customFormat="1" ht="13.5" x14ac:dyDescent="0.25">
      <c r="A110" s="121">
        <v>12</v>
      </c>
      <c r="B110" s="122" t="s">
        <v>137</v>
      </c>
      <c r="C110" s="122">
        <v>19</v>
      </c>
      <c r="D110" s="122"/>
      <c r="E110" s="160"/>
      <c r="F110" s="160">
        <v>1620</v>
      </c>
      <c r="G110" s="160">
        <f>118</f>
        <v>118</v>
      </c>
      <c r="H110" s="161">
        <v>83</v>
      </c>
      <c r="I110" s="161">
        <v>982</v>
      </c>
      <c r="J110" s="161">
        <v>437</v>
      </c>
      <c r="K110" s="123">
        <f t="shared" si="13"/>
        <v>118</v>
      </c>
      <c r="L110" s="124">
        <f t="shared" si="10"/>
        <v>41.5</v>
      </c>
      <c r="M110" s="124">
        <f t="shared" si="10"/>
        <v>491</v>
      </c>
      <c r="N110" s="124">
        <f t="shared" si="10"/>
        <v>218.5</v>
      </c>
      <c r="O110" s="124">
        <f t="shared" si="11"/>
        <v>869</v>
      </c>
      <c r="P110" s="124">
        <f t="shared" si="12"/>
        <v>41.5</v>
      </c>
      <c r="Q110" s="124">
        <f t="shared" si="12"/>
        <v>491</v>
      </c>
      <c r="R110" s="124">
        <f t="shared" si="12"/>
        <v>218.5</v>
      </c>
      <c r="S110" s="118">
        <f t="shared" si="14"/>
        <v>751</v>
      </c>
      <c r="T110" s="160">
        <f>414</f>
        <v>414</v>
      </c>
      <c r="U110" s="160"/>
      <c r="V110" s="161">
        <v>414</v>
      </c>
      <c r="W110" s="160">
        <v>2795</v>
      </c>
      <c r="X110" s="160"/>
      <c r="Y110" s="160">
        <v>2795</v>
      </c>
      <c r="Z110" s="161">
        <v>0</v>
      </c>
      <c r="AA110" s="123">
        <v>17.5</v>
      </c>
      <c r="AB110" s="125">
        <v>4829</v>
      </c>
      <c r="AC110" s="178">
        <v>24</v>
      </c>
      <c r="AD110" s="118">
        <f t="shared" si="19"/>
        <v>845</v>
      </c>
      <c r="AE110" s="118"/>
      <c r="AF110" s="118" t="e">
        <f>#REF!-AE110</f>
        <v>#REF!</v>
      </c>
      <c r="AG110" s="118">
        <v>72</v>
      </c>
      <c r="AH110" s="118" t="e">
        <f>#REF!-AG110</f>
        <v>#REF!</v>
      </c>
      <c r="AI110" s="118">
        <v>18</v>
      </c>
      <c r="AJ110" s="119"/>
      <c r="AK110" s="120">
        <f t="shared" si="20"/>
        <v>4829</v>
      </c>
    </row>
    <row r="111" spans="1:37" s="109" customFormat="1" ht="13.5" x14ac:dyDescent="0.25">
      <c r="A111" s="121">
        <v>13</v>
      </c>
      <c r="B111" s="122" t="s">
        <v>137</v>
      </c>
      <c r="C111" s="122">
        <v>20</v>
      </c>
      <c r="D111" s="122"/>
      <c r="E111" s="160"/>
      <c r="F111" s="160">
        <v>860</v>
      </c>
      <c r="G111" s="160">
        <f>162</f>
        <v>162</v>
      </c>
      <c r="H111" s="161">
        <v>76</v>
      </c>
      <c r="I111" s="161"/>
      <c r="J111" s="161">
        <v>622</v>
      </c>
      <c r="K111" s="123">
        <f t="shared" si="13"/>
        <v>162</v>
      </c>
      <c r="L111" s="124">
        <f t="shared" si="10"/>
        <v>38</v>
      </c>
      <c r="M111" s="124">
        <f t="shared" si="10"/>
        <v>0</v>
      </c>
      <c r="N111" s="124">
        <f t="shared" si="10"/>
        <v>311</v>
      </c>
      <c r="O111" s="124">
        <f t="shared" si="11"/>
        <v>511</v>
      </c>
      <c r="P111" s="124">
        <f t="shared" si="12"/>
        <v>38</v>
      </c>
      <c r="Q111" s="124">
        <f t="shared" si="12"/>
        <v>0</v>
      </c>
      <c r="R111" s="124">
        <f t="shared" si="12"/>
        <v>311</v>
      </c>
      <c r="S111" s="118">
        <f t="shared" si="14"/>
        <v>349</v>
      </c>
      <c r="T111" s="160">
        <v>107</v>
      </c>
      <c r="U111" s="160"/>
      <c r="V111" s="161">
        <v>107</v>
      </c>
      <c r="W111" s="160">
        <v>1650</v>
      </c>
      <c r="X111" s="160"/>
      <c r="Y111" s="160">
        <v>1650</v>
      </c>
      <c r="Z111" s="161">
        <v>0</v>
      </c>
      <c r="AA111" s="123">
        <v>14</v>
      </c>
      <c r="AB111" s="125">
        <v>2617</v>
      </c>
      <c r="AC111" s="178"/>
      <c r="AD111" s="118">
        <f t="shared" si="19"/>
        <v>511</v>
      </c>
      <c r="AE111" s="118"/>
      <c r="AF111" s="118" t="e">
        <f>#REF!-AE111</f>
        <v>#REF!</v>
      </c>
      <c r="AG111" s="118">
        <v>54</v>
      </c>
      <c r="AH111" s="118" t="e">
        <f>#REF!-AG111</f>
        <v>#REF!</v>
      </c>
      <c r="AI111" s="118">
        <v>14</v>
      </c>
      <c r="AJ111" s="119"/>
      <c r="AK111" s="120">
        <f t="shared" si="20"/>
        <v>2617</v>
      </c>
    </row>
    <row r="112" spans="1:37" s="109" customFormat="1" ht="13.5" x14ac:dyDescent="0.25">
      <c r="A112" s="121">
        <v>14</v>
      </c>
      <c r="B112" s="122" t="s">
        <v>137</v>
      </c>
      <c r="C112" s="122">
        <v>21</v>
      </c>
      <c r="D112" s="122"/>
      <c r="E112" s="160">
        <f>88.92</f>
        <v>88.92</v>
      </c>
      <c r="F112" s="160">
        <f>790+E112</f>
        <v>878.92</v>
      </c>
      <c r="G112" s="160">
        <f>139+E112</f>
        <v>227.92000000000002</v>
      </c>
      <c r="H112" s="161">
        <v>119</v>
      </c>
      <c r="I112" s="161">
        <v>343</v>
      </c>
      <c r="J112" s="161">
        <v>189</v>
      </c>
      <c r="K112" s="123">
        <f t="shared" si="13"/>
        <v>227.92000000000002</v>
      </c>
      <c r="L112" s="124">
        <f t="shared" si="10"/>
        <v>59.5</v>
      </c>
      <c r="M112" s="124">
        <f t="shared" si="10"/>
        <v>171.5</v>
      </c>
      <c r="N112" s="124">
        <f t="shared" si="10"/>
        <v>94.5</v>
      </c>
      <c r="O112" s="124">
        <f t="shared" si="11"/>
        <v>553.42000000000007</v>
      </c>
      <c r="P112" s="124">
        <f t="shared" si="12"/>
        <v>59.5</v>
      </c>
      <c r="Q112" s="124">
        <f t="shared" si="12"/>
        <v>171.5</v>
      </c>
      <c r="R112" s="124">
        <f t="shared" si="12"/>
        <v>94.5</v>
      </c>
      <c r="S112" s="118">
        <f t="shared" si="14"/>
        <v>325.5</v>
      </c>
      <c r="T112" s="179">
        <f>471</f>
        <v>471</v>
      </c>
      <c r="U112" s="160"/>
      <c r="V112" s="161">
        <v>471</v>
      </c>
      <c r="W112" s="160">
        <f>65+4700</f>
        <v>4765</v>
      </c>
      <c r="X112" s="160"/>
      <c r="Y112" s="160">
        <f>4765-E112</f>
        <v>4676.08</v>
      </c>
      <c r="Z112" s="161">
        <v>0</v>
      </c>
      <c r="AA112" s="123"/>
      <c r="AB112" s="125">
        <v>6026</v>
      </c>
      <c r="AC112" s="117"/>
      <c r="AD112" s="118">
        <f t="shared" si="19"/>
        <v>553.42000000000007</v>
      </c>
      <c r="AE112" s="118"/>
      <c r="AF112" s="118" t="e">
        <f>#REF!-AE112</f>
        <v>#REF!</v>
      </c>
      <c r="AG112" s="118">
        <v>42</v>
      </c>
      <c r="AH112" s="118" t="e">
        <f>#REF!-AG112</f>
        <v>#REF!</v>
      </c>
      <c r="AI112" s="118"/>
      <c r="AJ112" s="119"/>
      <c r="AK112" s="120">
        <f t="shared" si="20"/>
        <v>6114.92</v>
      </c>
    </row>
    <row r="113" spans="1:37" s="109" customFormat="1" ht="13.5" x14ac:dyDescent="0.25">
      <c r="A113" s="121">
        <v>15</v>
      </c>
      <c r="B113" s="122" t="s">
        <v>137</v>
      </c>
      <c r="C113" s="122">
        <v>22</v>
      </c>
      <c r="D113" s="127"/>
      <c r="E113" s="160"/>
      <c r="F113" s="160">
        <v>2078</v>
      </c>
      <c r="G113" s="160">
        <f>169</f>
        <v>169</v>
      </c>
      <c r="H113" s="161">
        <f>244+31</f>
        <v>275</v>
      </c>
      <c r="I113" s="161">
        <v>1016</v>
      </c>
      <c r="J113" s="161">
        <v>618</v>
      </c>
      <c r="K113" s="123">
        <f t="shared" si="13"/>
        <v>169</v>
      </c>
      <c r="L113" s="124">
        <f t="shared" si="10"/>
        <v>137.5</v>
      </c>
      <c r="M113" s="124">
        <f t="shared" si="10"/>
        <v>508</v>
      </c>
      <c r="N113" s="124">
        <f t="shared" si="10"/>
        <v>309</v>
      </c>
      <c r="O113" s="124">
        <f t="shared" si="11"/>
        <v>1123.5</v>
      </c>
      <c r="P113" s="124">
        <f t="shared" si="12"/>
        <v>137.5</v>
      </c>
      <c r="Q113" s="124">
        <f t="shared" si="12"/>
        <v>508</v>
      </c>
      <c r="R113" s="124">
        <f t="shared" si="12"/>
        <v>309</v>
      </c>
      <c r="S113" s="118">
        <f t="shared" si="14"/>
        <v>954.5</v>
      </c>
      <c r="T113" s="160"/>
      <c r="U113" s="160"/>
      <c r="V113" s="161">
        <v>0</v>
      </c>
      <c r="W113" s="160">
        <f>1694+4809</f>
        <v>6503</v>
      </c>
      <c r="X113" s="160"/>
      <c r="Y113" s="160">
        <v>6503</v>
      </c>
      <c r="Z113" s="161">
        <v>0</v>
      </c>
      <c r="AA113" s="123"/>
      <c r="AB113" s="125">
        <v>8581</v>
      </c>
      <c r="AC113" s="117"/>
      <c r="AD113" s="118">
        <f t="shared" si="19"/>
        <v>1123.5</v>
      </c>
      <c r="AE113" s="118"/>
      <c r="AF113" s="118" t="e">
        <f>#REF!-AE113</f>
        <v>#REF!</v>
      </c>
      <c r="AG113" s="118">
        <v>18</v>
      </c>
      <c r="AH113" s="118" t="e">
        <f>#REF!-AG113</f>
        <v>#REF!</v>
      </c>
      <c r="AI113" s="118"/>
      <c r="AJ113" s="119"/>
      <c r="AK113" s="120">
        <f t="shared" si="20"/>
        <v>8581</v>
      </c>
    </row>
    <row r="114" spans="1:37" s="109" customFormat="1" ht="13.5" x14ac:dyDescent="0.25">
      <c r="A114" s="121">
        <v>16</v>
      </c>
      <c r="B114" s="122" t="s">
        <v>137</v>
      </c>
      <c r="C114" s="122">
        <v>23</v>
      </c>
      <c r="D114" s="122"/>
      <c r="E114" s="160">
        <f>372.86+269.48</f>
        <v>642.34</v>
      </c>
      <c r="F114" s="160">
        <f>1801+E114</f>
        <v>2443.34</v>
      </c>
      <c r="G114" s="160">
        <f>168+E114</f>
        <v>810.34</v>
      </c>
      <c r="H114" s="161">
        <v>100</v>
      </c>
      <c r="I114" s="161">
        <f>1169-52</f>
        <v>1117</v>
      </c>
      <c r="J114" s="161">
        <v>416</v>
      </c>
      <c r="K114" s="123">
        <f t="shared" si="13"/>
        <v>810.34</v>
      </c>
      <c r="L114" s="124">
        <f t="shared" si="10"/>
        <v>50</v>
      </c>
      <c r="M114" s="124">
        <f t="shared" si="10"/>
        <v>558.5</v>
      </c>
      <c r="N114" s="124">
        <f t="shared" si="10"/>
        <v>208</v>
      </c>
      <c r="O114" s="124">
        <f t="shared" si="11"/>
        <v>1626.8400000000001</v>
      </c>
      <c r="P114" s="124">
        <f t="shared" si="12"/>
        <v>50</v>
      </c>
      <c r="Q114" s="124">
        <f t="shared" si="12"/>
        <v>558.5</v>
      </c>
      <c r="R114" s="124">
        <f t="shared" si="12"/>
        <v>208</v>
      </c>
      <c r="S114" s="118">
        <f t="shared" si="14"/>
        <v>816.5</v>
      </c>
      <c r="T114" s="160">
        <v>33</v>
      </c>
      <c r="U114" s="160"/>
      <c r="V114" s="161">
        <v>33</v>
      </c>
      <c r="W114" s="160">
        <v>5963</v>
      </c>
      <c r="X114" s="160"/>
      <c r="Y114" s="160">
        <f>5963-E114</f>
        <v>5320.66</v>
      </c>
      <c r="Z114" s="161">
        <v>0</v>
      </c>
      <c r="AA114" s="123"/>
      <c r="AB114" s="125">
        <v>7797</v>
      </c>
      <c r="AC114" s="178">
        <v>24</v>
      </c>
      <c r="AD114" s="118">
        <f t="shared" si="19"/>
        <v>1602.8400000000001</v>
      </c>
      <c r="AE114" s="118"/>
      <c r="AF114" s="118" t="e">
        <f>#REF!-AE114</f>
        <v>#REF!</v>
      </c>
      <c r="AG114" s="118">
        <v>120</v>
      </c>
      <c r="AH114" s="118" t="e">
        <f>#REF!-AG114</f>
        <v>#REF!</v>
      </c>
      <c r="AI114" s="118"/>
      <c r="AJ114" s="119"/>
      <c r="AK114" s="120">
        <f t="shared" si="20"/>
        <v>8439.34</v>
      </c>
    </row>
    <row r="115" spans="1:37" s="109" customFormat="1" ht="13.5" x14ac:dyDescent="0.25">
      <c r="A115" s="121">
        <v>17</v>
      </c>
      <c r="B115" s="122" t="s">
        <v>137</v>
      </c>
      <c r="C115" s="122">
        <v>25</v>
      </c>
      <c r="D115" s="122">
        <v>1</v>
      </c>
      <c r="E115" s="160"/>
      <c r="F115" s="160">
        <f>1769+E115</f>
        <v>1769</v>
      </c>
      <c r="G115" s="160">
        <f>117+E115</f>
        <v>117</v>
      </c>
      <c r="H115" s="161">
        <v>394</v>
      </c>
      <c r="I115" s="161">
        <v>1258</v>
      </c>
      <c r="J115" s="161"/>
      <c r="K115" s="123">
        <f t="shared" si="13"/>
        <v>117</v>
      </c>
      <c r="L115" s="124">
        <f t="shared" si="10"/>
        <v>197</v>
      </c>
      <c r="M115" s="124">
        <f t="shared" si="10"/>
        <v>629</v>
      </c>
      <c r="N115" s="124">
        <f t="shared" si="10"/>
        <v>0</v>
      </c>
      <c r="O115" s="124">
        <f t="shared" si="11"/>
        <v>943</v>
      </c>
      <c r="P115" s="124">
        <f t="shared" si="12"/>
        <v>197</v>
      </c>
      <c r="Q115" s="124">
        <f t="shared" si="12"/>
        <v>629</v>
      </c>
      <c r="R115" s="124">
        <f t="shared" si="12"/>
        <v>0</v>
      </c>
      <c r="S115" s="118">
        <f t="shared" si="14"/>
        <v>826</v>
      </c>
      <c r="T115" s="160"/>
      <c r="U115" s="160"/>
      <c r="V115" s="161">
        <v>0</v>
      </c>
      <c r="W115" s="179">
        <f>3554+172+55</f>
        <v>3781</v>
      </c>
      <c r="X115" s="160"/>
      <c r="Y115" s="160">
        <f>3781-E115</f>
        <v>3781</v>
      </c>
      <c r="Z115" s="161">
        <v>0</v>
      </c>
      <c r="AA115" s="123">
        <v>14</v>
      </c>
      <c r="AB115" s="125">
        <v>5550</v>
      </c>
      <c r="AC115" s="117"/>
      <c r="AD115" s="118">
        <f t="shared" si="19"/>
        <v>943</v>
      </c>
      <c r="AE115" s="118"/>
      <c r="AF115" s="118" t="e">
        <f>#REF!-AE115</f>
        <v>#REF!</v>
      </c>
      <c r="AG115" s="118"/>
      <c r="AH115" s="118" t="e">
        <f>#REF!-AG115</f>
        <v>#REF!</v>
      </c>
      <c r="AI115" s="118">
        <v>14</v>
      </c>
      <c r="AJ115" s="119"/>
      <c r="AK115" s="120">
        <f t="shared" si="20"/>
        <v>5550</v>
      </c>
    </row>
    <row r="116" spans="1:37" s="109" customFormat="1" ht="13.5" x14ac:dyDescent="0.25">
      <c r="A116" s="121">
        <v>18</v>
      </c>
      <c r="B116" s="122" t="s">
        <v>137</v>
      </c>
      <c r="C116" s="122">
        <v>25</v>
      </c>
      <c r="D116" s="122">
        <v>2</v>
      </c>
      <c r="E116" s="160">
        <f>961.25+101.7</f>
        <v>1062.95</v>
      </c>
      <c r="F116" s="160">
        <f>3405+E116</f>
        <v>4467.95</v>
      </c>
      <c r="G116" s="160">
        <f>899+E116</f>
        <v>1961.95</v>
      </c>
      <c r="H116" s="161">
        <v>517</v>
      </c>
      <c r="I116" s="161">
        <v>1726</v>
      </c>
      <c r="J116" s="161">
        <v>263</v>
      </c>
      <c r="K116" s="123">
        <f t="shared" si="13"/>
        <v>1961.95</v>
      </c>
      <c r="L116" s="124">
        <f t="shared" si="10"/>
        <v>258.5</v>
      </c>
      <c r="M116" s="124">
        <f t="shared" si="10"/>
        <v>863</v>
      </c>
      <c r="N116" s="124">
        <f t="shared" si="10"/>
        <v>131.5</v>
      </c>
      <c r="O116" s="124">
        <f t="shared" si="11"/>
        <v>3214.95</v>
      </c>
      <c r="P116" s="124">
        <f t="shared" si="12"/>
        <v>258.5</v>
      </c>
      <c r="Q116" s="124">
        <f t="shared" si="12"/>
        <v>863</v>
      </c>
      <c r="R116" s="124">
        <f t="shared" si="12"/>
        <v>131.5</v>
      </c>
      <c r="S116" s="118">
        <f t="shared" si="14"/>
        <v>1253</v>
      </c>
      <c r="T116" s="160"/>
      <c r="U116" s="160"/>
      <c r="V116" s="161">
        <v>0</v>
      </c>
      <c r="W116" s="160">
        <f>4723</f>
        <v>4723</v>
      </c>
      <c r="X116" s="160"/>
      <c r="Y116" s="160">
        <f>4723-E116</f>
        <v>3660.05</v>
      </c>
      <c r="Z116" s="161">
        <v>0</v>
      </c>
      <c r="AA116" s="123">
        <v>21</v>
      </c>
      <c r="AB116" s="125">
        <v>8128</v>
      </c>
      <c r="AC116" s="178">
        <v>78</v>
      </c>
      <c r="AD116" s="118">
        <f t="shared" si="19"/>
        <v>3136.95</v>
      </c>
      <c r="AE116" s="118"/>
      <c r="AF116" s="118" t="e">
        <f>#REF!-AE116</f>
        <v>#REF!</v>
      </c>
      <c r="AG116" s="118">
        <v>132</v>
      </c>
      <c r="AH116" s="118" t="e">
        <f>#REF!-AG116</f>
        <v>#REF!</v>
      </c>
      <c r="AI116" s="118">
        <v>21</v>
      </c>
      <c r="AJ116" s="119"/>
      <c r="AK116" s="120">
        <f t="shared" si="20"/>
        <v>9190.9500000000007</v>
      </c>
    </row>
    <row r="117" spans="1:37" s="109" customFormat="1" ht="13.5" x14ac:dyDescent="0.25">
      <c r="A117" s="121">
        <v>19</v>
      </c>
      <c r="B117" s="122" t="s">
        <v>137</v>
      </c>
      <c r="C117" s="122">
        <v>27</v>
      </c>
      <c r="D117" s="122"/>
      <c r="E117" s="160"/>
      <c r="F117" s="160">
        <v>1063</v>
      </c>
      <c r="G117" s="160">
        <f>121+126</f>
        <v>247</v>
      </c>
      <c r="H117" s="161">
        <v>80</v>
      </c>
      <c r="I117" s="161">
        <f>122</f>
        <v>122</v>
      </c>
      <c r="J117" s="161">
        <f>740-126</f>
        <v>614</v>
      </c>
      <c r="K117" s="123">
        <f t="shared" si="13"/>
        <v>247</v>
      </c>
      <c r="L117" s="124">
        <f t="shared" si="10"/>
        <v>40</v>
      </c>
      <c r="M117" s="124">
        <f t="shared" si="10"/>
        <v>61</v>
      </c>
      <c r="N117" s="124">
        <f t="shared" si="10"/>
        <v>307</v>
      </c>
      <c r="O117" s="124">
        <f t="shared" si="11"/>
        <v>655</v>
      </c>
      <c r="P117" s="124">
        <f t="shared" si="12"/>
        <v>40</v>
      </c>
      <c r="Q117" s="124">
        <f t="shared" si="12"/>
        <v>61</v>
      </c>
      <c r="R117" s="124">
        <f t="shared" si="12"/>
        <v>307</v>
      </c>
      <c r="S117" s="118">
        <f t="shared" si="14"/>
        <v>408</v>
      </c>
      <c r="T117" s="160">
        <f>181+10</f>
        <v>191</v>
      </c>
      <c r="U117" s="160"/>
      <c r="V117" s="161">
        <v>191</v>
      </c>
      <c r="W117" s="160">
        <v>3992</v>
      </c>
      <c r="X117" s="160"/>
      <c r="Y117" s="160">
        <v>3992</v>
      </c>
      <c r="Z117" s="161">
        <v>0</v>
      </c>
      <c r="AA117" s="123"/>
      <c r="AB117" s="125">
        <v>5246</v>
      </c>
      <c r="AC117" s="117"/>
      <c r="AD117" s="118">
        <f t="shared" si="19"/>
        <v>655</v>
      </c>
      <c r="AE117" s="118"/>
      <c r="AF117" s="118" t="e">
        <f>#REF!-AE117</f>
        <v>#REF!</v>
      </c>
      <c r="AG117" s="118"/>
      <c r="AH117" s="118" t="e">
        <f>#REF!-AG117</f>
        <v>#REF!</v>
      </c>
      <c r="AI117" s="118"/>
      <c r="AJ117" s="119"/>
      <c r="AK117" s="120">
        <f t="shared" si="20"/>
        <v>5246</v>
      </c>
    </row>
    <row r="118" spans="1:37" s="109" customFormat="1" ht="13.5" x14ac:dyDescent="0.25">
      <c r="A118" s="121">
        <v>20</v>
      </c>
      <c r="B118" s="122" t="s">
        <v>117</v>
      </c>
      <c r="C118" s="122">
        <v>31</v>
      </c>
      <c r="D118" s="122">
        <v>2</v>
      </c>
      <c r="E118" s="160">
        <f>558.51</f>
        <v>558.51</v>
      </c>
      <c r="F118" s="160">
        <f>2858+E118</f>
        <v>3416.51</v>
      </c>
      <c r="G118" s="160">
        <f>449+E118</f>
        <v>1007.51</v>
      </c>
      <c r="H118" s="161">
        <v>793</v>
      </c>
      <c r="I118" s="161">
        <v>1616</v>
      </c>
      <c r="J118" s="161"/>
      <c r="K118" s="123">
        <f t="shared" si="13"/>
        <v>1007.51</v>
      </c>
      <c r="L118" s="124">
        <f t="shared" si="10"/>
        <v>396.5</v>
      </c>
      <c r="M118" s="124">
        <f t="shared" si="10"/>
        <v>808</v>
      </c>
      <c r="N118" s="124">
        <f t="shared" si="10"/>
        <v>0</v>
      </c>
      <c r="O118" s="124">
        <f t="shared" si="11"/>
        <v>2212.0100000000002</v>
      </c>
      <c r="P118" s="124">
        <f t="shared" si="12"/>
        <v>396.5</v>
      </c>
      <c r="Q118" s="124">
        <f t="shared" si="12"/>
        <v>808</v>
      </c>
      <c r="R118" s="124">
        <f t="shared" si="12"/>
        <v>0</v>
      </c>
      <c r="S118" s="118">
        <f t="shared" si="14"/>
        <v>1204.5</v>
      </c>
      <c r="T118" s="160">
        <f>184</f>
        <v>184</v>
      </c>
      <c r="U118" s="160"/>
      <c r="V118" s="161">
        <v>184</v>
      </c>
      <c r="W118" s="160">
        <f>2938</f>
        <v>2938</v>
      </c>
      <c r="X118" s="160"/>
      <c r="Y118" s="160">
        <f>2938-E118</f>
        <v>2379.4899999999998</v>
      </c>
      <c r="Z118" s="161">
        <v>0</v>
      </c>
      <c r="AA118" s="123">
        <v>21.5</v>
      </c>
      <c r="AB118" s="125">
        <v>5980</v>
      </c>
      <c r="AC118" s="178">
        <v>150</v>
      </c>
      <c r="AD118" s="118">
        <f t="shared" si="19"/>
        <v>2062.0100000000002</v>
      </c>
      <c r="AE118" s="118"/>
      <c r="AF118" s="118" t="e">
        <f>#REF!-AE118</f>
        <v>#REF!</v>
      </c>
      <c r="AG118" s="118"/>
      <c r="AH118" s="118" t="e">
        <f>#REF!-AG118</f>
        <v>#REF!</v>
      </c>
      <c r="AI118" s="118">
        <v>22</v>
      </c>
      <c r="AJ118" s="119"/>
      <c r="AK118" s="120">
        <f t="shared" si="20"/>
        <v>6538.51</v>
      </c>
    </row>
    <row r="119" spans="1:37" s="109" customFormat="1" ht="13.5" x14ac:dyDescent="0.25">
      <c r="A119" s="121">
        <v>21</v>
      </c>
      <c r="B119" s="122" t="s">
        <v>117</v>
      </c>
      <c r="C119" s="122">
        <v>31</v>
      </c>
      <c r="D119" s="122">
        <v>3</v>
      </c>
      <c r="E119" s="180"/>
      <c r="F119" s="180">
        <v>2298</v>
      </c>
      <c r="G119" s="180">
        <f>358</f>
        <v>358</v>
      </c>
      <c r="H119" s="181">
        <v>355</v>
      </c>
      <c r="I119" s="181">
        <v>1585</v>
      </c>
      <c r="J119" s="181"/>
      <c r="K119" s="123">
        <f t="shared" si="13"/>
        <v>358</v>
      </c>
      <c r="L119" s="124">
        <f t="shared" si="10"/>
        <v>177.5</v>
      </c>
      <c r="M119" s="124">
        <f t="shared" si="10"/>
        <v>792.5</v>
      </c>
      <c r="N119" s="124">
        <f t="shared" si="10"/>
        <v>0</v>
      </c>
      <c r="O119" s="124">
        <f t="shared" si="11"/>
        <v>1328</v>
      </c>
      <c r="P119" s="124">
        <f t="shared" si="12"/>
        <v>177.5</v>
      </c>
      <c r="Q119" s="124">
        <f t="shared" si="12"/>
        <v>792.5</v>
      </c>
      <c r="R119" s="124">
        <f t="shared" si="12"/>
        <v>0</v>
      </c>
      <c r="S119" s="118">
        <f t="shared" si="14"/>
        <v>970</v>
      </c>
      <c r="T119" s="180">
        <v>458</v>
      </c>
      <c r="U119" s="160"/>
      <c r="V119" s="161">
        <v>458</v>
      </c>
      <c r="W119" s="160">
        <v>2605</v>
      </c>
      <c r="X119" s="160"/>
      <c r="Y119" s="160">
        <v>2605</v>
      </c>
      <c r="Z119" s="161">
        <v>0</v>
      </c>
      <c r="AA119" s="123"/>
      <c r="AB119" s="125">
        <v>5361</v>
      </c>
      <c r="AC119" s="178">
        <v>144</v>
      </c>
      <c r="AD119" s="118">
        <f t="shared" si="19"/>
        <v>1184</v>
      </c>
      <c r="AE119" s="118"/>
      <c r="AF119" s="118" t="e">
        <f>#REF!-AE119</f>
        <v>#REF!</v>
      </c>
      <c r="AG119" s="118"/>
      <c r="AH119" s="118" t="e">
        <f>#REF!-AG119</f>
        <v>#REF!</v>
      </c>
      <c r="AI119" s="118"/>
      <c r="AJ119" s="119"/>
      <c r="AK119" s="120">
        <f t="shared" si="20"/>
        <v>5361</v>
      </c>
    </row>
    <row r="120" spans="1:37" s="109" customFormat="1" ht="13.5" x14ac:dyDescent="0.25">
      <c r="A120" s="121">
        <v>22</v>
      </c>
      <c r="B120" s="122" t="s">
        <v>117</v>
      </c>
      <c r="C120" s="122">
        <v>31</v>
      </c>
      <c r="D120" s="122">
        <v>4</v>
      </c>
      <c r="E120" s="180"/>
      <c r="F120" s="180">
        <v>2248</v>
      </c>
      <c r="G120" s="180">
        <f>358</f>
        <v>358</v>
      </c>
      <c r="H120" s="181">
        <v>155</v>
      </c>
      <c r="I120" s="181">
        <v>1547</v>
      </c>
      <c r="J120" s="181">
        <v>188</v>
      </c>
      <c r="K120" s="123">
        <f t="shared" si="13"/>
        <v>358</v>
      </c>
      <c r="L120" s="124">
        <f t="shared" si="10"/>
        <v>77.5</v>
      </c>
      <c r="M120" s="124">
        <f t="shared" si="10"/>
        <v>773.5</v>
      </c>
      <c r="N120" s="124">
        <f t="shared" si="10"/>
        <v>94</v>
      </c>
      <c r="O120" s="124">
        <f t="shared" si="11"/>
        <v>1303</v>
      </c>
      <c r="P120" s="124">
        <f t="shared" si="12"/>
        <v>77.5</v>
      </c>
      <c r="Q120" s="124">
        <f t="shared" si="12"/>
        <v>773.5</v>
      </c>
      <c r="R120" s="124">
        <f t="shared" si="12"/>
        <v>94</v>
      </c>
      <c r="S120" s="118">
        <f t="shared" si="14"/>
        <v>945</v>
      </c>
      <c r="T120" s="180">
        <v>772</v>
      </c>
      <c r="U120" s="160"/>
      <c r="V120" s="161">
        <v>772</v>
      </c>
      <c r="W120" s="160">
        <v>3051</v>
      </c>
      <c r="X120" s="160"/>
      <c r="Y120" s="160">
        <v>3051</v>
      </c>
      <c r="Z120" s="161">
        <v>0</v>
      </c>
      <c r="AA120" s="123">
        <v>21</v>
      </c>
      <c r="AB120" s="125">
        <v>6071</v>
      </c>
      <c r="AC120" s="178">
        <v>54</v>
      </c>
      <c r="AD120" s="118">
        <f t="shared" si="19"/>
        <v>1249</v>
      </c>
      <c r="AE120" s="118"/>
      <c r="AF120" s="118" t="e">
        <f>#REF!-AE120</f>
        <v>#REF!</v>
      </c>
      <c r="AG120" s="118"/>
      <c r="AH120" s="118" t="e">
        <f>#REF!-AG120</f>
        <v>#REF!</v>
      </c>
      <c r="AI120" s="118">
        <v>21</v>
      </c>
      <c r="AJ120" s="119"/>
      <c r="AK120" s="120">
        <f t="shared" si="20"/>
        <v>6071</v>
      </c>
    </row>
    <row r="121" spans="1:37" s="109" customFormat="1" ht="13.5" x14ac:dyDescent="0.25">
      <c r="A121" s="121">
        <v>23</v>
      </c>
      <c r="B121" s="122" t="s">
        <v>117</v>
      </c>
      <c r="C121" s="122">
        <v>33</v>
      </c>
      <c r="D121" s="122"/>
      <c r="E121" s="160">
        <f>145.7</f>
        <v>145.69999999999999</v>
      </c>
      <c r="F121" s="160">
        <f>750+E121</f>
        <v>895.7</v>
      </c>
      <c r="G121" s="160">
        <v>219.7</v>
      </c>
      <c r="H121" s="161">
        <v>37</v>
      </c>
      <c r="I121" s="161">
        <v>89</v>
      </c>
      <c r="J121" s="161">
        <v>550</v>
      </c>
      <c r="K121" s="123">
        <f t="shared" si="13"/>
        <v>219.7</v>
      </c>
      <c r="L121" s="124">
        <f t="shared" si="10"/>
        <v>18.5</v>
      </c>
      <c r="M121" s="124">
        <f t="shared" si="10"/>
        <v>44.5</v>
      </c>
      <c r="N121" s="124">
        <f t="shared" si="10"/>
        <v>275</v>
      </c>
      <c r="O121" s="124">
        <f t="shared" si="11"/>
        <v>557.70000000000005</v>
      </c>
      <c r="P121" s="124">
        <f t="shared" si="12"/>
        <v>18.5</v>
      </c>
      <c r="Q121" s="124">
        <f t="shared" si="12"/>
        <v>44.5</v>
      </c>
      <c r="R121" s="124">
        <f t="shared" si="12"/>
        <v>275</v>
      </c>
      <c r="S121" s="118">
        <f t="shared" si="14"/>
        <v>338</v>
      </c>
      <c r="T121" s="160"/>
      <c r="U121" s="160"/>
      <c r="V121" s="161">
        <v>0</v>
      </c>
      <c r="W121" s="160">
        <v>2423</v>
      </c>
      <c r="X121" s="160"/>
      <c r="Y121" s="160">
        <f>2423-E121</f>
        <v>2277.3000000000002</v>
      </c>
      <c r="Z121" s="161">
        <v>0</v>
      </c>
      <c r="AA121" s="123"/>
      <c r="AB121" s="125">
        <v>3173</v>
      </c>
      <c r="AC121" s="117"/>
      <c r="AD121" s="118">
        <f t="shared" si="19"/>
        <v>557.70000000000005</v>
      </c>
      <c r="AE121" s="118"/>
      <c r="AF121" s="118" t="e">
        <f>#REF!-AE121</f>
        <v>#REF!</v>
      </c>
      <c r="AG121" s="118"/>
      <c r="AH121" s="118" t="e">
        <f>#REF!-AG121</f>
        <v>#REF!</v>
      </c>
      <c r="AI121" s="118"/>
      <c r="AJ121" s="119"/>
      <c r="AK121" s="120">
        <f t="shared" si="20"/>
        <v>3318.7</v>
      </c>
    </row>
    <row r="122" spans="1:37" s="109" customFormat="1" ht="13.5" x14ac:dyDescent="0.25">
      <c r="A122" s="121">
        <v>24</v>
      </c>
      <c r="B122" s="122" t="s">
        <v>117</v>
      </c>
      <c r="C122" s="122">
        <v>35</v>
      </c>
      <c r="D122" s="122">
        <v>1</v>
      </c>
      <c r="E122" s="160" t="s">
        <v>138</v>
      </c>
      <c r="F122" s="160">
        <v>2350</v>
      </c>
      <c r="G122" s="160">
        <f>150+472</f>
        <v>622</v>
      </c>
      <c r="H122" s="161">
        <v>351</v>
      </c>
      <c r="I122" s="161">
        <f>1157-472</f>
        <v>685</v>
      </c>
      <c r="J122" s="161">
        <v>692</v>
      </c>
      <c r="K122" s="123">
        <f t="shared" si="13"/>
        <v>622</v>
      </c>
      <c r="L122" s="124">
        <f t="shared" si="10"/>
        <v>175.5</v>
      </c>
      <c r="M122" s="124">
        <f t="shared" si="10"/>
        <v>342.5</v>
      </c>
      <c r="N122" s="124">
        <f t="shared" si="10"/>
        <v>346</v>
      </c>
      <c r="O122" s="124">
        <f t="shared" si="11"/>
        <v>1486</v>
      </c>
      <c r="P122" s="124">
        <f t="shared" si="12"/>
        <v>175.5</v>
      </c>
      <c r="Q122" s="124">
        <f t="shared" si="12"/>
        <v>342.5</v>
      </c>
      <c r="R122" s="124">
        <f t="shared" si="12"/>
        <v>346</v>
      </c>
      <c r="S122" s="118">
        <f t="shared" si="14"/>
        <v>864</v>
      </c>
      <c r="T122" s="160">
        <f>18+306</f>
        <v>324</v>
      </c>
      <c r="U122" s="160"/>
      <c r="V122" s="161">
        <v>324</v>
      </c>
      <c r="W122" s="160">
        <v>8630</v>
      </c>
      <c r="X122" s="160"/>
      <c r="Y122" s="160">
        <v>8630</v>
      </c>
      <c r="Z122" s="161">
        <v>0</v>
      </c>
      <c r="AA122" s="123">
        <v>14</v>
      </c>
      <c r="AB122" s="125">
        <v>11304</v>
      </c>
      <c r="AC122" s="117"/>
      <c r="AD122" s="118">
        <f t="shared" si="19"/>
        <v>1486</v>
      </c>
      <c r="AE122" s="118"/>
      <c r="AF122" s="118" t="e">
        <f>#REF!-AE122</f>
        <v>#REF!</v>
      </c>
      <c r="AG122" s="118">
        <v>42</v>
      </c>
      <c r="AH122" s="118" t="e">
        <f>#REF!-AG122</f>
        <v>#REF!</v>
      </c>
      <c r="AI122" s="118">
        <v>14</v>
      </c>
      <c r="AJ122" s="119"/>
      <c r="AK122" s="120">
        <f t="shared" si="20"/>
        <v>11304</v>
      </c>
    </row>
    <row r="123" spans="1:37" s="109" customFormat="1" ht="13.5" x14ac:dyDescent="0.25">
      <c r="A123" s="121">
        <v>25</v>
      </c>
      <c r="B123" s="122" t="s">
        <v>117</v>
      </c>
      <c r="C123" s="122">
        <v>35</v>
      </c>
      <c r="D123" s="122">
        <v>2</v>
      </c>
      <c r="E123" s="160"/>
      <c r="F123" s="160">
        <v>1454</v>
      </c>
      <c r="G123" s="160">
        <f>166</f>
        <v>166</v>
      </c>
      <c r="H123" s="161">
        <v>201</v>
      </c>
      <c r="I123" s="161">
        <v>809</v>
      </c>
      <c r="J123" s="161">
        <v>278</v>
      </c>
      <c r="K123" s="123">
        <f t="shared" si="13"/>
        <v>166</v>
      </c>
      <c r="L123" s="124">
        <f t="shared" si="10"/>
        <v>100.5</v>
      </c>
      <c r="M123" s="124">
        <f t="shared" si="10"/>
        <v>404.5</v>
      </c>
      <c r="N123" s="124">
        <f t="shared" si="10"/>
        <v>139</v>
      </c>
      <c r="O123" s="124">
        <f t="shared" si="11"/>
        <v>810</v>
      </c>
      <c r="P123" s="124">
        <f t="shared" si="12"/>
        <v>100.5</v>
      </c>
      <c r="Q123" s="124">
        <f t="shared" si="12"/>
        <v>404.5</v>
      </c>
      <c r="R123" s="124">
        <f t="shared" si="12"/>
        <v>139</v>
      </c>
      <c r="S123" s="118">
        <f t="shared" si="14"/>
        <v>644</v>
      </c>
      <c r="T123" s="160">
        <v>182</v>
      </c>
      <c r="U123" s="160"/>
      <c r="V123" s="161">
        <v>182</v>
      </c>
      <c r="W123" s="160">
        <v>3327</v>
      </c>
      <c r="X123" s="160"/>
      <c r="Y123" s="160">
        <v>3327</v>
      </c>
      <c r="Z123" s="161">
        <v>0</v>
      </c>
      <c r="AA123" s="123"/>
      <c r="AB123" s="125">
        <v>4963</v>
      </c>
      <c r="AC123" s="117"/>
      <c r="AD123" s="118">
        <f t="shared" si="19"/>
        <v>810</v>
      </c>
      <c r="AE123" s="118"/>
      <c r="AF123" s="118" t="e">
        <f>#REF!-AE123</f>
        <v>#REF!</v>
      </c>
      <c r="AG123" s="118"/>
      <c r="AH123" s="118" t="e">
        <f>#REF!-AG123</f>
        <v>#REF!</v>
      </c>
      <c r="AI123" s="118"/>
      <c r="AJ123" s="119"/>
      <c r="AK123" s="120">
        <f t="shared" si="20"/>
        <v>4963</v>
      </c>
    </row>
    <row r="124" spans="1:37" s="109" customFormat="1" ht="13.5" x14ac:dyDescent="0.25">
      <c r="A124" s="121">
        <v>26</v>
      </c>
      <c r="B124" s="122" t="s">
        <v>117</v>
      </c>
      <c r="C124" s="122">
        <v>35</v>
      </c>
      <c r="D124" s="122">
        <v>3</v>
      </c>
      <c r="E124" s="160">
        <f>36.4</f>
        <v>36.4</v>
      </c>
      <c r="F124" s="160">
        <f>1835+E124</f>
        <v>1871.4</v>
      </c>
      <c r="G124" s="160">
        <f>132+E124</f>
        <v>168.4</v>
      </c>
      <c r="H124" s="161">
        <v>664</v>
      </c>
      <c r="I124" s="161">
        <v>882</v>
      </c>
      <c r="J124" s="161">
        <v>157</v>
      </c>
      <c r="K124" s="123">
        <f t="shared" si="13"/>
        <v>168.4</v>
      </c>
      <c r="L124" s="124">
        <f t="shared" si="10"/>
        <v>332</v>
      </c>
      <c r="M124" s="124">
        <f t="shared" si="10"/>
        <v>441</v>
      </c>
      <c r="N124" s="124">
        <f t="shared" si="10"/>
        <v>78.5</v>
      </c>
      <c r="O124" s="124">
        <f t="shared" si="11"/>
        <v>1019.9</v>
      </c>
      <c r="P124" s="124">
        <f t="shared" si="12"/>
        <v>332</v>
      </c>
      <c r="Q124" s="124">
        <f t="shared" si="12"/>
        <v>441</v>
      </c>
      <c r="R124" s="124">
        <f t="shared" si="12"/>
        <v>78.5</v>
      </c>
      <c r="S124" s="118">
        <f t="shared" si="14"/>
        <v>851.5</v>
      </c>
      <c r="T124" s="160"/>
      <c r="U124" s="160"/>
      <c r="V124" s="161">
        <v>0</v>
      </c>
      <c r="W124" s="160">
        <v>7072</v>
      </c>
      <c r="X124" s="160"/>
      <c r="Y124" s="160">
        <f>7072-E124</f>
        <v>7035.6</v>
      </c>
      <c r="Z124" s="161">
        <v>0</v>
      </c>
      <c r="AA124" s="123">
        <v>28</v>
      </c>
      <c r="AB124" s="125">
        <v>8907</v>
      </c>
      <c r="AC124" s="117"/>
      <c r="AD124" s="118">
        <f t="shared" si="19"/>
        <v>1019.9</v>
      </c>
      <c r="AE124" s="118"/>
      <c r="AF124" s="118" t="e">
        <f>#REF!-AE124</f>
        <v>#REF!</v>
      </c>
      <c r="AG124" s="118">
        <v>48</v>
      </c>
      <c r="AH124" s="118" t="e">
        <f>#REF!-AG124</f>
        <v>#REF!</v>
      </c>
      <c r="AI124" s="118">
        <v>28</v>
      </c>
      <c r="AJ124" s="119"/>
      <c r="AK124" s="120">
        <f t="shared" si="20"/>
        <v>8943.4</v>
      </c>
    </row>
    <row r="125" spans="1:37" s="109" customFormat="1" ht="13.5" x14ac:dyDescent="0.25">
      <c r="A125" s="121">
        <v>27</v>
      </c>
      <c r="B125" s="122" t="s">
        <v>117</v>
      </c>
      <c r="C125" s="122">
        <v>37</v>
      </c>
      <c r="D125" s="122">
        <v>1</v>
      </c>
      <c r="E125" s="160">
        <f>145</f>
        <v>145</v>
      </c>
      <c r="F125" s="160">
        <f>637+E125</f>
        <v>782</v>
      </c>
      <c r="G125" s="160">
        <v>512</v>
      </c>
      <c r="H125" s="161">
        <v>71</v>
      </c>
      <c r="I125" s="161">
        <v>199</v>
      </c>
      <c r="J125" s="161"/>
      <c r="K125" s="123">
        <f t="shared" si="13"/>
        <v>512</v>
      </c>
      <c r="L125" s="124">
        <f t="shared" si="10"/>
        <v>35.5</v>
      </c>
      <c r="M125" s="124">
        <f t="shared" si="10"/>
        <v>99.5</v>
      </c>
      <c r="N125" s="124">
        <f t="shared" si="10"/>
        <v>0</v>
      </c>
      <c r="O125" s="124">
        <f t="shared" si="11"/>
        <v>647</v>
      </c>
      <c r="P125" s="124">
        <f t="shared" si="12"/>
        <v>35.5</v>
      </c>
      <c r="Q125" s="124">
        <f t="shared" si="12"/>
        <v>99.5</v>
      </c>
      <c r="R125" s="124">
        <f t="shared" si="12"/>
        <v>0</v>
      </c>
      <c r="S125" s="118">
        <f t="shared" si="14"/>
        <v>135</v>
      </c>
      <c r="T125" s="160">
        <f>409+223</f>
        <v>632</v>
      </c>
      <c r="U125" s="160"/>
      <c r="V125" s="161">
        <v>632</v>
      </c>
      <c r="W125" s="160">
        <v>10404</v>
      </c>
      <c r="X125" s="160"/>
      <c r="Y125" s="160">
        <f>10404-E125</f>
        <v>10259</v>
      </c>
      <c r="Z125" s="161">
        <v>0</v>
      </c>
      <c r="AA125" s="123"/>
      <c r="AB125" s="125">
        <v>11673</v>
      </c>
      <c r="AC125" s="117"/>
      <c r="AD125" s="118">
        <f t="shared" si="19"/>
        <v>647</v>
      </c>
      <c r="AE125" s="118"/>
      <c r="AF125" s="118" t="e">
        <f>#REF!-AE125</f>
        <v>#REF!</v>
      </c>
      <c r="AG125" s="118">
        <v>54</v>
      </c>
      <c r="AH125" s="118" t="e">
        <f>#REF!-AG125</f>
        <v>#REF!</v>
      </c>
      <c r="AI125" s="118"/>
      <c r="AJ125" s="119"/>
      <c r="AK125" s="120">
        <f t="shared" si="20"/>
        <v>11818</v>
      </c>
    </row>
    <row r="126" spans="1:37" s="109" customFormat="1" ht="13.5" x14ac:dyDescent="0.25">
      <c r="A126" s="121">
        <v>28</v>
      </c>
      <c r="B126" s="122" t="s">
        <v>117</v>
      </c>
      <c r="C126" s="122">
        <v>37</v>
      </c>
      <c r="D126" s="122">
        <v>2</v>
      </c>
      <c r="E126" s="160"/>
      <c r="F126" s="160">
        <v>1073</v>
      </c>
      <c r="G126" s="160">
        <f>70</f>
        <v>70</v>
      </c>
      <c r="H126" s="161">
        <v>172</v>
      </c>
      <c r="I126" s="161">
        <v>831</v>
      </c>
      <c r="J126" s="161"/>
      <c r="K126" s="123">
        <f t="shared" si="13"/>
        <v>70</v>
      </c>
      <c r="L126" s="124">
        <f t="shared" si="10"/>
        <v>86</v>
      </c>
      <c r="M126" s="124">
        <f t="shared" si="10"/>
        <v>415.5</v>
      </c>
      <c r="N126" s="124">
        <f t="shared" si="10"/>
        <v>0</v>
      </c>
      <c r="O126" s="124">
        <f t="shared" si="11"/>
        <v>571.5</v>
      </c>
      <c r="P126" s="124">
        <f t="shared" si="12"/>
        <v>86</v>
      </c>
      <c r="Q126" s="124">
        <f t="shared" si="12"/>
        <v>415.5</v>
      </c>
      <c r="R126" s="124">
        <f t="shared" si="12"/>
        <v>0</v>
      </c>
      <c r="S126" s="118">
        <f t="shared" si="14"/>
        <v>501.5</v>
      </c>
      <c r="T126" s="160">
        <f>303+13</f>
        <v>316</v>
      </c>
      <c r="U126" s="160"/>
      <c r="V126" s="161">
        <v>316</v>
      </c>
      <c r="W126" s="160">
        <v>5538</v>
      </c>
      <c r="X126" s="160"/>
      <c r="Y126" s="160">
        <v>5538</v>
      </c>
      <c r="Z126" s="161">
        <v>0</v>
      </c>
      <c r="AA126" s="123">
        <v>14</v>
      </c>
      <c r="AB126" s="125">
        <v>6927</v>
      </c>
      <c r="AC126" s="117"/>
      <c r="AD126" s="118">
        <f t="shared" si="19"/>
        <v>571.5</v>
      </c>
      <c r="AE126" s="118"/>
      <c r="AF126" s="118" t="e">
        <f>#REF!-AE126</f>
        <v>#REF!</v>
      </c>
      <c r="AG126" s="118">
        <v>42</v>
      </c>
      <c r="AH126" s="118" t="e">
        <f>#REF!-AG126</f>
        <v>#REF!</v>
      </c>
      <c r="AI126" s="118">
        <v>14</v>
      </c>
      <c r="AJ126" s="119"/>
      <c r="AK126" s="120">
        <f t="shared" si="20"/>
        <v>6927</v>
      </c>
    </row>
    <row r="127" spans="1:37" s="109" customFormat="1" ht="13.5" x14ac:dyDescent="0.25">
      <c r="A127" s="121">
        <v>29</v>
      </c>
      <c r="B127" s="122" t="s">
        <v>117</v>
      </c>
      <c r="C127" s="122">
        <v>37</v>
      </c>
      <c r="D127" s="122">
        <v>3</v>
      </c>
      <c r="E127" s="160"/>
      <c r="F127" s="160">
        <v>893</v>
      </c>
      <c r="G127" s="160">
        <f>63</f>
        <v>63</v>
      </c>
      <c r="H127" s="161">
        <v>148</v>
      </c>
      <c r="I127" s="161">
        <v>204</v>
      </c>
      <c r="J127" s="161">
        <v>478</v>
      </c>
      <c r="K127" s="123">
        <f t="shared" si="13"/>
        <v>63</v>
      </c>
      <c r="L127" s="124">
        <f t="shared" si="10"/>
        <v>74</v>
      </c>
      <c r="M127" s="124">
        <f t="shared" si="10"/>
        <v>102</v>
      </c>
      <c r="N127" s="124">
        <f t="shared" si="10"/>
        <v>239</v>
      </c>
      <c r="O127" s="124">
        <f t="shared" si="11"/>
        <v>478</v>
      </c>
      <c r="P127" s="124">
        <f t="shared" si="12"/>
        <v>74</v>
      </c>
      <c r="Q127" s="124">
        <f t="shared" si="12"/>
        <v>102</v>
      </c>
      <c r="R127" s="124">
        <f t="shared" si="12"/>
        <v>239</v>
      </c>
      <c r="S127" s="118">
        <f t="shared" si="14"/>
        <v>415</v>
      </c>
      <c r="T127" s="160">
        <f>205+18</f>
        <v>223</v>
      </c>
      <c r="U127" s="160"/>
      <c r="V127" s="161">
        <v>223</v>
      </c>
      <c r="W127" s="160">
        <v>5050</v>
      </c>
      <c r="X127" s="160"/>
      <c r="Y127" s="160">
        <v>5050</v>
      </c>
      <c r="Z127" s="161">
        <v>0</v>
      </c>
      <c r="AA127" s="123"/>
      <c r="AB127" s="125">
        <v>6166</v>
      </c>
      <c r="AC127" s="117"/>
      <c r="AD127" s="118">
        <f t="shared" si="19"/>
        <v>478</v>
      </c>
      <c r="AE127" s="118"/>
      <c r="AF127" s="118" t="e">
        <f>#REF!-AE127</f>
        <v>#REF!</v>
      </c>
      <c r="AG127" s="118"/>
      <c r="AH127" s="118" t="e">
        <f>#REF!-AG127</f>
        <v>#REF!</v>
      </c>
      <c r="AI127" s="118"/>
      <c r="AJ127" s="119"/>
      <c r="AK127" s="120">
        <f t="shared" si="20"/>
        <v>6166</v>
      </c>
    </row>
    <row r="128" spans="1:37" s="109" customFormat="1" ht="13.5" x14ac:dyDescent="0.25">
      <c r="A128" s="121">
        <v>30</v>
      </c>
      <c r="B128" s="122" t="s">
        <v>117</v>
      </c>
      <c r="C128" s="122">
        <v>37</v>
      </c>
      <c r="D128" s="122">
        <v>4</v>
      </c>
      <c r="E128" s="160"/>
      <c r="F128" s="160">
        <v>1958</v>
      </c>
      <c r="G128" s="160">
        <f>82</f>
        <v>82</v>
      </c>
      <c r="H128" s="161">
        <v>207</v>
      </c>
      <c r="I128" s="161">
        <v>1429</v>
      </c>
      <c r="J128" s="161">
        <v>240</v>
      </c>
      <c r="K128" s="123">
        <f t="shared" si="13"/>
        <v>82</v>
      </c>
      <c r="L128" s="124">
        <f t="shared" si="10"/>
        <v>103.5</v>
      </c>
      <c r="M128" s="124">
        <f t="shared" si="10"/>
        <v>714.5</v>
      </c>
      <c r="N128" s="124">
        <f t="shared" si="10"/>
        <v>120</v>
      </c>
      <c r="O128" s="124">
        <f t="shared" si="11"/>
        <v>1020</v>
      </c>
      <c r="P128" s="124">
        <f t="shared" si="12"/>
        <v>103.5</v>
      </c>
      <c r="Q128" s="124">
        <f t="shared" si="12"/>
        <v>714.5</v>
      </c>
      <c r="R128" s="124">
        <f t="shared" si="12"/>
        <v>120</v>
      </c>
      <c r="S128" s="118">
        <f t="shared" si="14"/>
        <v>938</v>
      </c>
      <c r="T128" s="160">
        <f>47+11</f>
        <v>58</v>
      </c>
      <c r="U128" s="160"/>
      <c r="V128" s="161">
        <v>58</v>
      </c>
      <c r="W128" s="160">
        <v>4754</v>
      </c>
      <c r="X128" s="160"/>
      <c r="Y128" s="160">
        <v>4754</v>
      </c>
      <c r="Z128" s="161">
        <v>0</v>
      </c>
      <c r="AA128" s="123"/>
      <c r="AB128" s="125">
        <v>6770</v>
      </c>
      <c r="AC128" s="117"/>
      <c r="AD128" s="118">
        <f t="shared" si="19"/>
        <v>1020</v>
      </c>
      <c r="AE128" s="118"/>
      <c r="AF128" s="118" t="e">
        <f>#REF!-AE128</f>
        <v>#REF!</v>
      </c>
      <c r="AG128" s="118"/>
      <c r="AH128" s="118" t="e">
        <f>#REF!-AG128</f>
        <v>#REF!</v>
      </c>
      <c r="AI128" s="118"/>
      <c r="AJ128" s="119"/>
      <c r="AK128" s="120">
        <f t="shared" si="20"/>
        <v>6770</v>
      </c>
    </row>
    <row r="129" spans="1:37" s="109" customFormat="1" ht="13.5" x14ac:dyDescent="0.25">
      <c r="A129" s="121">
        <v>31</v>
      </c>
      <c r="B129" s="122" t="s">
        <v>117</v>
      </c>
      <c r="C129" s="122">
        <v>39</v>
      </c>
      <c r="D129" s="122">
        <v>1</v>
      </c>
      <c r="E129" s="160">
        <f>189.16+83</f>
        <v>272.15999999999997</v>
      </c>
      <c r="F129" s="160">
        <f>697+E129</f>
        <v>969.16</v>
      </c>
      <c r="G129" s="160">
        <f>268.16+83</f>
        <v>351.16</v>
      </c>
      <c r="H129" s="161">
        <v>64</v>
      </c>
      <c r="I129" s="161">
        <v>554</v>
      </c>
      <c r="J129" s="161"/>
      <c r="K129" s="123">
        <f t="shared" si="13"/>
        <v>351.16</v>
      </c>
      <c r="L129" s="124">
        <f t="shared" si="10"/>
        <v>32</v>
      </c>
      <c r="M129" s="124">
        <f t="shared" si="10"/>
        <v>277</v>
      </c>
      <c r="N129" s="124">
        <f t="shared" si="10"/>
        <v>0</v>
      </c>
      <c r="O129" s="124">
        <f t="shared" si="11"/>
        <v>660.16000000000008</v>
      </c>
      <c r="P129" s="124">
        <f t="shared" si="12"/>
        <v>32</v>
      </c>
      <c r="Q129" s="124">
        <f t="shared" si="12"/>
        <v>277</v>
      </c>
      <c r="R129" s="124">
        <f t="shared" si="12"/>
        <v>0</v>
      </c>
      <c r="S129" s="118">
        <f t="shared" si="14"/>
        <v>309</v>
      </c>
      <c r="T129" s="160">
        <f>335+105</f>
        <v>440</v>
      </c>
      <c r="U129" s="160"/>
      <c r="V129" s="161">
        <v>440</v>
      </c>
      <c r="W129" s="160">
        <v>10120</v>
      </c>
      <c r="X129" s="160"/>
      <c r="Y129" s="160">
        <f>10120-E129</f>
        <v>9847.84</v>
      </c>
      <c r="Z129" s="161">
        <v>0</v>
      </c>
      <c r="AA129" s="123">
        <v>14</v>
      </c>
      <c r="AB129" s="125">
        <v>11257</v>
      </c>
      <c r="AC129" s="117"/>
      <c r="AD129" s="118">
        <f t="shared" si="19"/>
        <v>660.16000000000008</v>
      </c>
      <c r="AE129" s="118"/>
      <c r="AF129" s="118" t="e">
        <f>#REF!-AE129</f>
        <v>#REF!</v>
      </c>
      <c r="AG129" s="118">
        <v>18</v>
      </c>
      <c r="AH129" s="118" t="e">
        <f>#REF!-AG129</f>
        <v>#REF!</v>
      </c>
      <c r="AI129" s="118">
        <v>14</v>
      </c>
      <c r="AJ129" s="119"/>
      <c r="AK129" s="120">
        <f t="shared" si="20"/>
        <v>11529.16</v>
      </c>
    </row>
    <row r="130" spans="1:37" s="109" customFormat="1" ht="13.5" x14ac:dyDescent="0.25">
      <c r="A130" s="121">
        <v>32</v>
      </c>
      <c r="B130" s="122" t="s">
        <v>117</v>
      </c>
      <c r="C130" s="122">
        <v>39</v>
      </c>
      <c r="D130" s="122">
        <v>2</v>
      </c>
      <c r="E130" s="160">
        <f>123.28+230</f>
        <v>353.28</v>
      </c>
      <c r="F130" s="160">
        <f>729+E130</f>
        <v>1082.28</v>
      </c>
      <c r="G130" s="160">
        <f>67+E130</f>
        <v>420.28</v>
      </c>
      <c r="H130" s="161">
        <v>79</v>
      </c>
      <c r="I130" s="161">
        <v>583</v>
      </c>
      <c r="J130" s="161"/>
      <c r="K130" s="123">
        <f t="shared" si="13"/>
        <v>420.28</v>
      </c>
      <c r="L130" s="124">
        <f t="shared" si="10"/>
        <v>39.5</v>
      </c>
      <c r="M130" s="124">
        <f t="shared" si="10"/>
        <v>291.5</v>
      </c>
      <c r="N130" s="124">
        <f t="shared" si="10"/>
        <v>0</v>
      </c>
      <c r="O130" s="124">
        <f t="shared" si="11"/>
        <v>751.28</v>
      </c>
      <c r="P130" s="124">
        <f t="shared" si="12"/>
        <v>39.5</v>
      </c>
      <c r="Q130" s="124">
        <f t="shared" si="12"/>
        <v>291.5</v>
      </c>
      <c r="R130" s="124">
        <f t="shared" si="12"/>
        <v>0</v>
      </c>
      <c r="S130" s="118">
        <f t="shared" si="14"/>
        <v>331</v>
      </c>
      <c r="T130" s="160">
        <f>158</f>
        <v>158</v>
      </c>
      <c r="U130" s="160"/>
      <c r="V130" s="161">
        <v>158</v>
      </c>
      <c r="W130" s="160">
        <v>3100</v>
      </c>
      <c r="X130" s="160"/>
      <c r="Y130" s="160">
        <f>3100-E130</f>
        <v>2746.7200000000003</v>
      </c>
      <c r="Z130" s="161">
        <v>0</v>
      </c>
      <c r="AA130" s="123"/>
      <c r="AB130" s="125">
        <v>3987</v>
      </c>
      <c r="AC130" s="117"/>
      <c r="AD130" s="118">
        <f t="shared" si="19"/>
        <v>751.28</v>
      </c>
      <c r="AE130" s="118"/>
      <c r="AF130" s="118" t="e">
        <f>#REF!-AE130</f>
        <v>#REF!</v>
      </c>
      <c r="AG130" s="118">
        <v>24</v>
      </c>
      <c r="AH130" s="118" t="e">
        <f>#REF!-AG130</f>
        <v>#REF!</v>
      </c>
      <c r="AI130" s="118"/>
      <c r="AJ130" s="119"/>
      <c r="AK130" s="120">
        <f t="shared" si="20"/>
        <v>4340.28</v>
      </c>
    </row>
    <row r="131" spans="1:37" s="109" customFormat="1" ht="13.5" x14ac:dyDescent="0.25">
      <c r="A131" s="121">
        <v>33</v>
      </c>
      <c r="B131" s="122" t="s">
        <v>117</v>
      </c>
      <c r="C131" s="122">
        <v>39</v>
      </c>
      <c r="D131" s="122">
        <v>3</v>
      </c>
      <c r="E131" s="160"/>
      <c r="F131" s="160">
        <v>1103</v>
      </c>
      <c r="G131" s="160">
        <f>74</f>
        <v>74</v>
      </c>
      <c r="H131" s="161">
        <v>67</v>
      </c>
      <c r="I131" s="161">
        <v>962</v>
      </c>
      <c r="J131" s="161"/>
      <c r="K131" s="123">
        <f t="shared" si="13"/>
        <v>74</v>
      </c>
      <c r="L131" s="124">
        <f t="shared" si="10"/>
        <v>33.5</v>
      </c>
      <c r="M131" s="124">
        <f t="shared" si="10"/>
        <v>481</v>
      </c>
      <c r="N131" s="124">
        <f t="shared" si="10"/>
        <v>0</v>
      </c>
      <c r="O131" s="124">
        <f t="shared" si="11"/>
        <v>588.5</v>
      </c>
      <c r="P131" s="124">
        <f t="shared" si="12"/>
        <v>33.5</v>
      </c>
      <c r="Q131" s="124">
        <f t="shared" si="12"/>
        <v>481</v>
      </c>
      <c r="R131" s="124">
        <f t="shared" si="12"/>
        <v>0</v>
      </c>
      <c r="S131" s="118">
        <f t="shared" si="14"/>
        <v>514.5</v>
      </c>
      <c r="T131" s="160">
        <v>526</v>
      </c>
      <c r="U131" s="160"/>
      <c r="V131" s="161">
        <v>526</v>
      </c>
      <c r="W131" s="160">
        <v>6264</v>
      </c>
      <c r="X131" s="160"/>
      <c r="Y131" s="160">
        <v>6264</v>
      </c>
      <c r="Z131" s="161">
        <v>135</v>
      </c>
      <c r="AA131" s="123"/>
      <c r="AB131" s="125">
        <v>8028</v>
      </c>
      <c r="AC131" s="178">
        <v>6</v>
      </c>
      <c r="AD131" s="118">
        <f t="shared" si="19"/>
        <v>582.5</v>
      </c>
      <c r="AE131" s="118"/>
      <c r="AF131" s="118" t="e">
        <f>#REF!-AE131</f>
        <v>#REF!</v>
      </c>
      <c r="AG131" s="118">
        <v>12</v>
      </c>
      <c r="AH131" s="118" t="e">
        <f>#REF!-AG131</f>
        <v>#REF!</v>
      </c>
      <c r="AI131" s="118"/>
      <c r="AJ131" s="119"/>
      <c r="AK131" s="120">
        <f t="shared" si="20"/>
        <v>7893</v>
      </c>
    </row>
    <row r="132" spans="1:37" s="109" customFormat="1" ht="13.5" x14ac:dyDescent="0.25">
      <c r="A132" s="121">
        <v>34</v>
      </c>
      <c r="B132" s="122" t="s">
        <v>117</v>
      </c>
      <c r="C132" s="122">
        <v>41</v>
      </c>
      <c r="D132" s="122">
        <v>1</v>
      </c>
      <c r="E132" s="160">
        <f>783.5</f>
        <v>783.5</v>
      </c>
      <c r="F132" s="160">
        <f>4379+E132</f>
        <v>5162.5</v>
      </c>
      <c r="G132" s="160">
        <v>958.5</v>
      </c>
      <c r="H132" s="161">
        <v>215</v>
      </c>
      <c r="I132" s="161">
        <v>921</v>
      </c>
      <c r="J132" s="161">
        <v>3068</v>
      </c>
      <c r="K132" s="123">
        <f t="shared" si="13"/>
        <v>958.5</v>
      </c>
      <c r="L132" s="124">
        <f t="shared" si="10"/>
        <v>107.5</v>
      </c>
      <c r="M132" s="124">
        <f t="shared" si="10"/>
        <v>460.5</v>
      </c>
      <c r="N132" s="124">
        <f t="shared" si="10"/>
        <v>1534</v>
      </c>
      <c r="O132" s="124">
        <f t="shared" si="11"/>
        <v>3060.5</v>
      </c>
      <c r="P132" s="124">
        <f t="shared" si="12"/>
        <v>107.5</v>
      </c>
      <c r="Q132" s="124">
        <f t="shared" si="12"/>
        <v>460.5</v>
      </c>
      <c r="R132" s="124">
        <f t="shared" si="12"/>
        <v>1534</v>
      </c>
      <c r="S132" s="118">
        <f t="shared" si="14"/>
        <v>2102</v>
      </c>
      <c r="T132" s="160"/>
      <c r="U132" s="160"/>
      <c r="V132" s="161">
        <v>0</v>
      </c>
      <c r="W132" s="160">
        <v>7220</v>
      </c>
      <c r="X132" s="160"/>
      <c r="Y132" s="160">
        <f>7220-E132</f>
        <v>6436.5</v>
      </c>
      <c r="Z132" s="161">
        <v>0</v>
      </c>
      <c r="AA132" s="123">
        <v>14</v>
      </c>
      <c r="AB132" s="125">
        <v>11599</v>
      </c>
      <c r="AC132" s="117"/>
      <c r="AD132" s="118">
        <f t="shared" si="19"/>
        <v>3060.5</v>
      </c>
      <c r="AE132" s="118"/>
      <c r="AF132" s="118" t="e">
        <f>#REF!-AE132</f>
        <v>#REF!</v>
      </c>
      <c r="AG132" s="118"/>
      <c r="AH132" s="118" t="e">
        <f>#REF!-AG132</f>
        <v>#REF!</v>
      </c>
      <c r="AI132" s="118">
        <v>14</v>
      </c>
      <c r="AJ132" s="119"/>
      <c r="AK132" s="120">
        <f t="shared" si="20"/>
        <v>12382.5</v>
      </c>
    </row>
    <row r="133" spans="1:37" s="109" customFormat="1" ht="13.5" x14ac:dyDescent="0.25">
      <c r="A133" s="121">
        <v>35</v>
      </c>
      <c r="B133" s="122" t="s">
        <v>117</v>
      </c>
      <c r="C133" s="122">
        <v>41</v>
      </c>
      <c r="D133" s="122">
        <v>2</v>
      </c>
      <c r="E133" s="160"/>
      <c r="F133" s="160">
        <v>2389</v>
      </c>
      <c r="G133" s="160">
        <f>140+257</f>
        <v>397</v>
      </c>
      <c r="H133" s="161">
        <v>494</v>
      </c>
      <c r="I133" s="161">
        <v>1498</v>
      </c>
      <c r="J133" s="161"/>
      <c r="K133" s="123">
        <f t="shared" si="13"/>
        <v>397</v>
      </c>
      <c r="L133" s="124">
        <f t="shared" si="10"/>
        <v>247</v>
      </c>
      <c r="M133" s="124">
        <f t="shared" si="10"/>
        <v>749</v>
      </c>
      <c r="N133" s="124">
        <f t="shared" si="10"/>
        <v>0</v>
      </c>
      <c r="O133" s="124">
        <f t="shared" si="11"/>
        <v>1393</v>
      </c>
      <c r="P133" s="124">
        <f t="shared" si="12"/>
        <v>247</v>
      </c>
      <c r="Q133" s="124">
        <f t="shared" si="12"/>
        <v>749</v>
      </c>
      <c r="R133" s="124">
        <f t="shared" si="12"/>
        <v>0</v>
      </c>
      <c r="S133" s="118">
        <f t="shared" si="14"/>
        <v>996</v>
      </c>
      <c r="T133" s="160">
        <v>198</v>
      </c>
      <c r="U133" s="160"/>
      <c r="V133" s="161">
        <v>198</v>
      </c>
      <c r="W133" s="160">
        <v>6477</v>
      </c>
      <c r="X133" s="160"/>
      <c r="Y133" s="160">
        <v>6477</v>
      </c>
      <c r="Z133" s="161">
        <v>0</v>
      </c>
      <c r="AA133" s="123">
        <v>10.5</v>
      </c>
      <c r="AB133" s="125">
        <v>9064</v>
      </c>
      <c r="AC133" s="178">
        <v>6</v>
      </c>
      <c r="AD133" s="118">
        <f t="shared" si="19"/>
        <v>1387</v>
      </c>
      <c r="AE133" s="118"/>
      <c r="AF133" s="118" t="e">
        <f>#REF!-AE133</f>
        <v>#REF!</v>
      </c>
      <c r="AG133" s="118"/>
      <c r="AH133" s="118" t="e">
        <f>#REF!-AG133</f>
        <v>#REF!</v>
      </c>
      <c r="AI133" s="118">
        <v>11</v>
      </c>
      <c r="AJ133" s="119"/>
      <c r="AK133" s="120">
        <f t="shared" si="20"/>
        <v>9064</v>
      </c>
    </row>
    <row r="134" spans="1:37" s="109" customFormat="1" ht="13.5" x14ac:dyDescent="0.25">
      <c r="A134" s="121">
        <v>36</v>
      </c>
      <c r="B134" s="122" t="s">
        <v>117</v>
      </c>
      <c r="C134" s="122">
        <v>41</v>
      </c>
      <c r="D134" s="122">
        <v>3</v>
      </c>
      <c r="E134" s="160">
        <f>185+240</f>
        <v>425</v>
      </c>
      <c r="F134" s="160">
        <f>2087+E134</f>
        <v>2512</v>
      </c>
      <c r="G134" s="160">
        <f>184+E134</f>
        <v>609</v>
      </c>
      <c r="H134" s="161">
        <v>362</v>
      </c>
      <c r="I134" s="161">
        <v>367</v>
      </c>
      <c r="J134" s="161">
        <v>1174</v>
      </c>
      <c r="K134" s="123">
        <f t="shared" si="13"/>
        <v>609</v>
      </c>
      <c r="L134" s="124">
        <f t="shared" si="10"/>
        <v>181</v>
      </c>
      <c r="M134" s="124">
        <f t="shared" si="10"/>
        <v>183.5</v>
      </c>
      <c r="N134" s="124">
        <f t="shared" si="10"/>
        <v>587</v>
      </c>
      <c r="O134" s="124">
        <f t="shared" si="11"/>
        <v>1560.5</v>
      </c>
      <c r="P134" s="124">
        <f t="shared" si="12"/>
        <v>181</v>
      </c>
      <c r="Q134" s="124">
        <f t="shared" si="12"/>
        <v>183.5</v>
      </c>
      <c r="R134" s="124">
        <f t="shared" si="12"/>
        <v>587</v>
      </c>
      <c r="S134" s="118">
        <f t="shared" si="14"/>
        <v>951.5</v>
      </c>
      <c r="T134" s="160"/>
      <c r="U134" s="160"/>
      <c r="V134" s="161">
        <v>0</v>
      </c>
      <c r="W134" s="160">
        <v>5246</v>
      </c>
      <c r="X134" s="160"/>
      <c r="Y134" s="160">
        <f>5246-E134</f>
        <v>4821</v>
      </c>
      <c r="Z134" s="161">
        <v>0</v>
      </c>
      <c r="AA134" s="123">
        <v>14</v>
      </c>
      <c r="AB134" s="125">
        <v>7333</v>
      </c>
      <c r="AC134" s="117"/>
      <c r="AD134" s="118">
        <f t="shared" si="19"/>
        <v>1560.5</v>
      </c>
      <c r="AE134" s="118"/>
      <c r="AF134" s="118" t="e">
        <f>#REF!-AE134</f>
        <v>#REF!</v>
      </c>
      <c r="AG134" s="118"/>
      <c r="AH134" s="118" t="e">
        <f>#REF!-AG134</f>
        <v>#REF!</v>
      </c>
      <c r="AI134" s="118">
        <v>14</v>
      </c>
      <c r="AJ134" s="119"/>
      <c r="AK134" s="120">
        <f t="shared" si="20"/>
        <v>7758</v>
      </c>
    </row>
    <row r="135" spans="1:37" s="109" customFormat="1" ht="13.5" x14ac:dyDescent="0.25">
      <c r="A135" s="121">
        <v>37</v>
      </c>
      <c r="B135" s="122" t="s">
        <v>117</v>
      </c>
      <c r="C135" s="122">
        <v>41</v>
      </c>
      <c r="D135" s="122">
        <v>4</v>
      </c>
      <c r="E135" s="160"/>
      <c r="F135" s="160">
        <v>1847</v>
      </c>
      <c r="G135" s="160">
        <f>121+200</f>
        <v>321</v>
      </c>
      <c r="H135" s="161">
        <f>140+278-278</f>
        <v>140</v>
      </c>
      <c r="I135" s="161">
        <v>1108</v>
      </c>
      <c r="J135" s="161">
        <v>278</v>
      </c>
      <c r="K135" s="123">
        <f t="shared" si="13"/>
        <v>321</v>
      </c>
      <c r="L135" s="124">
        <f t="shared" si="10"/>
        <v>70</v>
      </c>
      <c r="M135" s="124">
        <f t="shared" si="10"/>
        <v>554</v>
      </c>
      <c r="N135" s="124">
        <f t="shared" si="10"/>
        <v>139</v>
      </c>
      <c r="O135" s="124">
        <f t="shared" si="11"/>
        <v>1084</v>
      </c>
      <c r="P135" s="124">
        <f t="shared" si="12"/>
        <v>70</v>
      </c>
      <c r="Q135" s="124">
        <f t="shared" si="12"/>
        <v>554</v>
      </c>
      <c r="R135" s="124">
        <f t="shared" si="12"/>
        <v>139</v>
      </c>
      <c r="S135" s="118">
        <f t="shared" si="14"/>
        <v>763</v>
      </c>
      <c r="T135" s="160">
        <v>292</v>
      </c>
      <c r="U135" s="160"/>
      <c r="V135" s="161">
        <v>292</v>
      </c>
      <c r="W135" s="160">
        <v>17981</v>
      </c>
      <c r="X135" s="160"/>
      <c r="Y135" s="160">
        <v>17981</v>
      </c>
      <c r="Z135" s="161">
        <v>0</v>
      </c>
      <c r="AA135" s="123"/>
      <c r="AB135" s="125">
        <v>20120</v>
      </c>
      <c r="AC135" s="117"/>
      <c r="AD135" s="118">
        <f t="shared" si="19"/>
        <v>1084</v>
      </c>
      <c r="AE135" s="118"/>
      <c r="AF135" s="118" t="e">
        <f>#REF!-AE135</f>
        <v>#REF!</v>
      </c>
      <c r="AG135" s="118">
        <v>24</v>
      </c>
      <c r="AH135" s="118" t="e">
        <f>#REF!-AG135</f>
        <v>#REF!</v>
      </c>
      <c r="AI135" s="118"/>
      <c r="AJ135" s="119"/>
      <c r="AK135" s="120">
        <f t="shared" si="20"/>
        <v>20120</v>
      </c>
    </row>
    <row r="136" spans="1:37" s="109" customFormat="1" ht="13.5" x14ac:dyDescent="0.25">
      <c r="A136" s="121">
        <v>38</v>
      </c>
      <c r="B136" s="122" t="s">
        <v>117</v>
      </c>
      <c r="C136" s="122">
        <v>43</v>
      </c>
      <c r="D136" s="122">
        <v>1</v>
      </c>
      <c r="E136" s="160"/>
      <c r="F136" s="160">
        <v>1947</v>
      </c>
      <c r="G136" s="160">
        <f>53+344</f>
        <v>397</v>
      </c>
      <c r="H136" s="161">
        <f>477</f>
        <v>477</v>
      </c>
      <c r="I136" s="161">
        <v>1073</v>
      </c>
      <c r="J136" s="161"/>
      <c r="K136" s="123">
        <f t="shared" si="13"/>
        <v>397</v>
      </c>
      <c r="L136" s="124">
        <f t="shared" si="10"/>
        <v>238.5</v>
      </c>
      <c r="M136" s="124">
        <f t="shared" si="10"/>
        <v>536.5</v>
      </c>
      <c r="N136" s="124">
        <f t="shared" si="10"/>
        <v>0</v>
      </c>
      <c r="O136" s="124">
        <f t="shared" si="11"/>
        <v>1172</v>
      </c>
      <c r="P136" s="124">
        <f t="shared" si="12"/>
        <v>238.5</v>
      </c>
      <c r="Q136" s="124">
        <f t="shared" si="12"/>
        <v>536.5</v>
      </c>
      <c r="R136" s="124">
        <f t="shared" si="12"/>
        <v>0</v>
      </c>
      <c r="S136" s="118">
        <f t="shared" si="14"/>
        <v>775</v>
      </c>
      <c r="T136" s="160">
        <f>263+379</f>
        <v>642</v>
      </c>
      <c r="U136" s="160"/>
      <c r="V136" s="161">
        <v>642</v>
      </c>
      <c r="W136" s="160">
        <v>3758</v>
      </c>
      <c r="X136" s="160"/>
      <c r="Y136" s="160">
        <v>3758</v>
      </c>
      <c r="Z136" s="161">
        <v>0</v>
      </c>
      <c r="AA136" s="123"/>
      <c r="AB136" s="125">
        <v>6347</v>
      </c>
      <c r="AC136" s="117"/>
      <c r="AD136" s="118">
        <f t="shared" si="19"/>
        <v>1172</v>
      </c>
      <c r="AE136" s="118"/>
      <c r="AF136" s="118" t="e">
        <f>#REF!-AE136</f>
        <v>#REF!</v>
      </c>
      <c r="AG136" s="118"/>
      <c r="AH136" s="118" t="e">
        <f>#REF!-AG136</f>
        <v>#REF!</v>
      </c>
      <c r="AI136" s="118"/>
      <c r="AJ136" s="119"/>
      <c r="AK136" s="120">
        <f t="shared" si="20"/>
        <v>6347</v>
      </c>
    </row>
    <row r="137" spans="1:37" s="109" customFormat="1" ht="13.5" x14ac:dyDescent="0.25">
      <c r="A137" s="121">
        <v>39</v>
      </c>
      <c r="B137" s="122" t="s">
        <v>117</v>
      </c>
      <c r="C137" s="122">
        <v>43</v>
      </c>
      <c r="D137" s="122">
        <v>2</v>
      </c>
      <c r="E137" s="160">
        <f>87</f>
        <v>87</v>
      </c>
      <c r="F137" s="160">
        <f>1120+E137</f>
        <v>1207</v>
      </c>
      <c r="G137" s="160">
        <v>150</v>
      </c>
      <c r="H137" s="161">
        <v>89</v>
      </c>
      <c r="I137" s="161">
        <v>968</v>
      </c>
      <c r="J137" s="161"/>
      <c r="K137" s="123">
        <f t="shared" si="13"/>
        <v>150</v>
      </c>
      <c r="L137" s="124">
        <f t="shared" si="10"/>
        <v>44.5</v>
      </c>
      <c r="M137" s="124">
        <f t="shared" si="10"/>
        <v>484</v>
      </c>
      <c r="N137" s="124">
        <f t="shared" si="10"/>
        <v>0</v>
      </c>
      <c r="O137" s="124">
        <f t="shared" si="11"/>
        <v>678.5</v>
      </c>
      <c r="P137" s="124">
        <f t="shared" si="12"/>
        <v>44.5</v>
      </c>
      <c r="Q137" s="124">
        <f t="shared" si="12"/>
        <v>484</v>
      </c>
      <c r="R137" s="124">
        <f t="shared" si="12"/>
        <v>0</v>
      </c>
      <c r="S137" s="118">
        <f t="shared" si="14"/>
        <v>528.5</v>
      </c>
      <c r="T137" s="160"/>
      <c r="U137" s="160"/>
      <c r="V137" s="161">
        <v>0</v>
      </c>
      <c r="W137" s="160">
        <v>2889</v>
      </c>
      <c r="X137" s="160"/>
      <c r="Y137" s="160">
        <f>2889-E137</f>
        <v>2802</v>
      </c>
      <c r="Z137" s="161">
        <v>0</v>
      </c>
      <c r="AA137" s="123"/>
      <c r="AB137" s="125">
        <v>4009</v>
      </c>
      <c r="AC137" s="117"/>
      <c r="AD137" s="118">
        <f t="shared" si="19"/>
        <v>678.5</v>
      </c>
      <c r="AE137" s="118"/>
      <c r="AF137" s="118" t="e">
        <f>#REF!-AE137</f>
        <v>#REF!</v>
      </c>
      <c r="AG137" s="118"/>
      <c r="AH137" s="118" t="e">
        <f>#REF!-AG137</f>
        <v>#REF!</v>
      </c>
      <c r="AI137" s="118"/>
      <c r="AJ137" s="119"/>
      <c r="AK137" s="120">
        <f t="shared" si="20"/>
        <v>4096</v>
      </c>
    </row>
    <row r="138" spans="1:37" s="109" customFormat="1" ht="13.5" x14ac:dyDescent="0.25">
      <c r="A138" s="121">
        <v>40</v>
      </c>
      <c r="B138" s="122" t="s">
        <v>117</v>
      </c>
      <c r="C138" s="122">
        <v>45</v>
      </c>
      <c r="D138" s="122">
        <v>1</v>
      </c>
      <c r="E138" s="160"/>
      <c r="F138" s="160">
        <v>1464</v>
      </c>
      <c r="G138" s="160">
        <f>85+50</f>
        <v>135</v>
      </c>
      <c r="H138" s="161">
        <v>683</v>
      </c>
      <c r="I138" s="161">
        <v>646</v>
      </c>
      <c r="J138" s="161"/>
      <c r="K138" s="123">
        <f t="shared" si="13"/>
        <v>135</v>
      </c>
      <c r="L138" s="124">
        <f t="shared" si="10"/>
        <v>341.5</v>
      </c>
      <c r="M138" s="124">
        <f t="shared" si="10"/>
        <v>323</v>
      </c>
      <c r="N138" s="124">
        <f t="shared" si="10"/>
        <v>0</v>
      </c>
      <c r="O138" s="124">
        <f t="shared" si="11"/>
        <v>799.5</v>
      </c>
      <c r="P138" s="124">
        <f t="shared" si="12"/>
        <v>341.5</v>
      </c>
      <c r="Q138" s="124">
        <f t="shared" si="12"/>
        <v>323</v>
      </c>
      <c r="R138" s="124">
        <f t="shared" si="12"/>
        <v>0</v>
      </c>
      <c r="S138" s="118">
        <f t="shared" si="14"/>
        <v>664.5</v>
      </c>
      <c r="T138" s="160">
        <v>202</v>
      </c>
      <c r="U138" s="160"/>
      <c r="V138" s="161">
        <v>202</v>
      </c>
      <c r="W138" s="160">
        <f>13+3386</f>
        <v>3399</v>
      </c>
      <c r="X138" s="160"/>
      <c r="Y138" s="160">
        <v>3399</v>
      </c>
      <c r="Z138" s="161">
        <v>0</v>
      </c>
      <c r="AA138" s="123"/>
      <c r="AB138" s="125">
        <v>5065</v>
      </c>
      <c r="AC138" s="117"/>
      <c r="AD138" s="118">
        <f t="shared" si="19"/>
        <v>799.5</v>
      </c>
      <c r="AE138" s="118"/>
      <c r="AF138" s="118" t="e">
        <f>#REF!-AE138</f>
        <v>#REF!</v>
      </c>
      <c r="AG138" s="118"/>
      <c r="AH138" s="118" t="e">
        <f>#REF!-AG138</f>
        <v>#REF!</v>
      </c>
      <c r="AI138" s="118"/>
      <c r="AJ138" s="119"/>
      <c r="AK138" s="120">
        <f t="shared" si="20"/>
        <v>5065</v>
      </c>
    </row>
    <row r="139" spans="1:37" s="109" customFormat="1" ht="13.5" x14ac:dyDescent="0.25">
      <c r="A139" s="121">
        <v>41</v>
      </c>
      <c r="B139" s="122" t="s">
        <v>117</v>
      </c>
      <c r="C139" s="122">
        <v>45</v>
      </c>
      <c r="D139" s="122">
        <v>2</v>
      </c>
      <c r="E139" s="160"/>
      <c r="F139" s="160">
        <v>1184</v>
      </c>
      <c r="G139" s="160">
        <f>137+28</f>
        <v>165</v>
      </c>
      <c r="H139" s="161">
        <v>50</v>
      </c>
      <c r="I139" s="161">
        <v>969</v>
      </c>
      <c r="J139" s="161"/>
      <c r="K139" s="123">
        <f t="shared" si="13"/>
        <v>165</v>
      </c>
      <c r="L139" s="124">
        <f t="shared" si="10"/>
        <v>25</v>
      </c>
      <c r="M139" s="124">
        <f t="shared" si="10"/>
        <v>484.5</v>
      </c>
      <c r="N139" s="124">
        <f t="shared" si="10"/>
        <v>0</v>
      </c>
      <c r="O139" s="124">
        <f t="shared" si="11"/>
        <v>674.5</v>
      </c>
      <c r="P139" s="124">
        <f t="shared" si="12"/>
        <v>25</v>
      </c>
      <c r="Q139" s="124">
        <f t="shared" si="12"/>
        <v>484.5</v>
      </c>
      <c r="R139" s="124">
        <f t="shared" si="12"/>
        <v>0</v>
      </c>
      <c r="S139" s="118">
        <f t="shared" si="14"/>
        <v>509.5</v>
      </c>
      <c r="T139" s="160">
        <v>145</v>
      </c>
      <c r="U139" s="160"/>
      <c r="V139" s="161">
        <v>0</v>
      </c>
      <c r="W139" s="160">
        <v>4878</v>
      </c>
      <c r="X139" s="160"/>
      <c r="Y139" s="160">
        <v>5023</v>
      </c>
      <c r="Z139" s="161">
        <v>0</v>
      </c>
      <c r="AA139" s="123"/>
      <c r="AB139" s="125">
        <v>6207</v>
      </c>
      <c r="AC139" s="117"/>
      <c r="AD139" s="118">
        <f t="shared" si="19"/>
        <v>674.5</v>
      </c>
      <c r="AE139" s="118"/>
      <c r="AF139" s="118" t="e">
        <f>#REF!-AE139</f>
        <v>#REF!</v>
      </c>
      <c r="AG139" s="118">
        <v>18</v>
      </c>
      <c r="AH139" s="118" t="e">
        <f>#REF!-AG139</f>
        <v>#REF!</v>
      </c>
      <c r="AI139" s="118"/>
      <c r="AJ139" s="119"/>
      <c r="AK139" s="120">
        <f t="shared" si="20"/>
        <v>6207</v>
      </c>
    </row>
    <row r="140" spans="1:37" s="109" customFormat="1" ht="13.5" x14ac:dyDescent="0.25">
      <c r="A140" s="121">
        <v>42</v>
      </c>
      <c r="B140" s="122" t="s">
        <v>117</v>
      </c>
      <c r="C140" s="122">
        <v>47</v>
      </c>
      <c r="D140" s="122">
        <v>1</v>
      </c>
      <c r="E140" s="160">
        <f>230.86</f>
        <v>230.86</v>
      </c>
      <c r="F140" s="160">
        <f>2374+E140</f>
        <v>2604.86</v>
      </c>
      <c r="G140" s="160">
        <f>623+E140</f>
        <v>853.86</v>
      </c>
      <c r="H140" s="161">
        <v>213</v>
      </c>
      <c r="I140" s="161">
        <v>1475</v>
      </c>
      <c r="J140" s="161">
        <v>63</v>
      </c>
      <c r="K140" s="123">
        <f t="shared" si="13"/>
        <v>853.86</v>
      </c>
      <c r="L140" s="124">
        <f t="shared" si="10"/>
        <v>106.5</v>
      </c>
      <c r="M140" s="124">
        <f t="shared" si="10"/>
        <v>737.5</v>
      </c>
      <c r="N140" s="124">
        <f t="shared" si="10"/>
        <v>31.5</v>
      </c>
      <c r="O140" s="124">
        <f t="shared" si="11"/>
        <v>1729.3600000000001</v>
      </c>
      <c r="P140" s="124">
        <f t="shared" si="12"/>
        <v>106.5</v>
      </c>
      <c r="Q140" s="124">
        <f t="shared" si="12"/>
        <v>737.5</v>
      </c>
      <c r="R140" s="124">
        <f t="shared" si="12"/>
        <v>31.5</v>
      </c>
      <c r="S140" s="118">
        <f t="shared" si="14"/>
        <v>875.5</v>
      </c>
      <c r="T140" s="160">
        <v>303</v>
      </c>
      <c r="U140" s="160"/>
      <c r="V140" s="161">
        <v>303</v>
      </c>
      <c r="W140" s="160">
        <v>4942</v>
      </c>
      <c r="X140" s="160"/>
      <c r="Y140" s="160">
        <f>4942-E140</f>
        <v>4711.1400000000003</v>
      </c>
      <c r="Z140" s="161">
        <v>649</v>
      </c>
      <c r="AA140" s="123"/>
      <c r="AB140" s="125">
        <v>8268</v>
      </c>
      <c r="AC140" s="117"/>
      <c r="AD140" s="118">
        <f t="shared" si="19"/>
        <v>1729.3600000000001</v>
      </c>
      <c r="AE140" s="118"/>
      <c r="AF140" s="118" t="e">
        <f>#REF!-AE140</f>
        <v>#REF!</v>
      </c>
      <c r="AG140" s="118"/>
      <c r="AH140" s="118" t="e">
        <f>#REF!-AG140</f>
        <v>#REF!</v>
      </c>
      <c r="AI140" s="118"/>
      <c r="AJ140" s="119"/>
      <c r="AK140" s="120">
        <f t="shared" si="20"/>
        <v>7849.8600000000006</v>
      </c>
    </row>
    <row r="141" spans="1:37" s="109" customFormat="1" ht="13.5" x14ac:dyDescent="0.25">
      <c r="A141" s="121">
        <v>43</v>
      </c>
      <c r="B141" s="122" t="s">
        <v>117</v>
      </c>
      <c r="C141" s="122">
        <v>47</v>
      </c>
      <c r="D141" s="122">
        <v>2</v>
      </c>
      <c r="E141" s="160"/>
      <c r="F141" s="160">
        <v>2253</v>
      </c>
      <c r="G141" s="160">
        <f>251</f>
        <v>251</v>
      </c>
      <c r="H141" s="161">
        <v>217</v>
      </c>
      <c r="I141" s="161">
        <v>1785</v>
      </c>
      <c r="J141" s="161"/>
      <c r="K141" s="123">
        <f t="shared" si="13"/>
        <v>251</v>
      </c>
      <c r="L141" s="124">
        <f t="shared" si="10"/>
        <v>108.5</v>
      </c>
      <c r="M141" s="124">
        <f t="shared" si="10"/>
        <v>892.5</v>
      </c>
      <c r="N141" s="124">
        <f t="shared" si="10"/>
        <v>0</v>
      </c>
      <c r="O141" s="124">
        <f t="shared" si="11"/>
        <v>1252</v>
      </c>
      <c r="P141" s="124">
        <f t="shared" si="12"/>
        <v>108.5</v>
      </c>
      <c r="Q141" s="124">
        <f t="shared" si="12"/>
        <v>892.5</v>
      </c>
      <c r="R141" s="124">
        <f t="shared" si="12"/>
        <v>0</v>
      </c>
      <c r="S141" s="118">
        <f t="shared" si="14"/>
        <v>1001</v>
      </c>
      <c r="T141" s="160"/>
      <c r="U141" s="160"/>
      <c r="V141" s="161">
        <v>0</v>
      </c>
      <c r="W141" s="160">
        <v>3417</v>
      </c>
      <c r="X141" s="160"/>
      <c r="Y141" s="160">
        <v>3417</v>
      </c>
      <c r="Z141" s="161">
        <v>0</v>
      </c>
      <c r="AA141" s="123">
        <v>17.5</v>
      </c>
      <c r="AB141" s="125">
        <v>5670</v>
      </c>
      <c r="AC141" s="117"/>
      <c r="AD141" s="118">
        <f t="shared" si="19"/>
        <v>1252</v>
      </c>
      <c r="AE141" s="118"/>
      <c r="AF141" s="118" t="e">
        <f>#REF!-AE141</f>
        <v>#REF!</v>
      </c>
      <c r="AG141" s="118"/>
      <c r="AH141" s="118" t="e">
        <f>#REF!-AG141</f>
        <v>#REF!</v>
      </c>
      <c r="AI141" s="118">
        <v>18</v>
      </c>
      <c r="AJ141" s="119"/>
      <c r="AK141" s="120">
        <f t="shared" si="20"/>
        <v>5670</v>
      </c>
    </row>
    <row r="142" spans="1:37" s="109" customFormat="1" ht="13.5" x14ac:dyDescent="0.25">
      <c r="A142" s="121">
        <v>44</v>
      </c>
      <c r="B142" s="122" t="s">
        <v>117</v>
      </c>
      <c r="C142" s="122">
        <v>49</v>
      </c>
      <c r="D142" s="122">
        <v>2</v>
      </c>
      <c r="E142" s="160"/>
      <c r="F142" s="160">
        <v>1411</v>
      </c>
      <c r="G142" s="160">
        <f>130+142</f>
        <v>272</v>
      </c>
      <c r="H142" s="161">
        <v>150</v>
      </c>
      <c r="I142" s="161">
        <v>989</v>
      </c>
      <c r="J142" s="161"/>
      <c r="K142" s="123">
        <f t="shared" si="13"/>
        <v>272</v>
      </c>
      <c r="L142" s="124">
        <f t="shared" si="10"/>
        <v>75</v>
      </c>
      <c r="M142" s="124">
        <f t="shared" si="10"/>
        <v>494.5</v>
      </c>
      <c r="N142" s="124">
        <f t="shared" si="10"/>
        <v>0</v>
      </c>
      <c r="O142" s="124">
        <f t="shared" si="11"/>
        <v>841.5</v>
      </c>
      <c r="P142" s="124">
        <f t="shared" si="12"/>
        <v>75</v>
      </c>
      <c r="Q142" s="124">
        <f t="shared" si="12"/>
        <v>494.5</v>
      </c>
      <c r="R142" s="124">
        <f t="shared" si="12"/>
        <v>0</v>
      </c>
      <c r="S142" s="118">
        <f t="shared" si="14"/>
        <v>569.5</v>
      </c>
      <c r="T142" s="160"/>
      <c r="U142" s="160"/>
      <c r="V142" s="161">
        <v>0</v>
      </c>
      <c r="W142" s="160">
        <v>3216</v>
      </c>
      <c r="X142" s="160"/>
      <c r="Y142" s="160">
        <v>3216</v>
      </c>
      <c r="Z142" s="161">
        <v>0</v>
      </c>
      <c r="AA142" s="123">
        <v>24.5</v>
      </c>
      <c r="AB142" s="125">
        <v>4627</v>
      </c>
      <c r="AC142" s="117"/>
      <c r="AD142" s="118">
        <f t="shared" si="19"/>
        <v>841.5</v>
      </c>
      <c r="AE142" s="118"/>
      <c r="AF142" s="118" t="e">
        <f>#REF!-AE142</f>
        <v>#REF!</v>
      </c>
      <c r="AG142" s="118"/>
      <c r="AH142" s="118" t="e">
        <f>#REF!-AG142</f>
        <v>#REF!</v>
      </c>
      <c r="AI142" s="118">
        <v>25</v>
      </c>
      <c r="AJ142" s="119"/>
      <c r="AK142" s="120">
        <f t="shared" si="20"/>
        <v>4627</v>
      </c>
    </row>
    <row r="143" spans="1:37" s="109" customFormat="1" ht="13.5" x14ac:dyDescent="0.25">
      <c r="A143" s="121">
        <v>45</v>
      </c>
      <c r="B143" s="122" t="s">
        <v>117</v>
      </c>
      <c r="C143" s="122">
        <v>49</v>
      </c>
      <c r="D143" s="122">
        <v>3</v>
      </c>
      <c r="E143" s="160">
        <f>98.45</f>
        <v>98.45</v>
      </c>
      <c r="F143" s="160">
        <f>1280+E143</f>
        <v>1378.45</v>
      </c>
      <c r="G143" s="160">
        <f>101+E143</f>
        <v>199.45</v>
      </c>
      <c r="H143" s="161">
        <v>36</v>
      </c>
      <c r="I143" s="161">
        <v>1143</v>
      </c>
      <c r="J143" s="161"/>
      <c r="K143" s="123">
        <f t="shared" si="13"/>
        <v>199.45</v>
      </c>
      <c r="L143" s="124">
        <f t="shared" si="10"/>
        <v>18</v>
      </c>
      <c r="M143" s="124">
        <f t="shared" si="10"/>
        <v>571.5</v>
      </c>
      <c r="N143" s="124">
        <f t="shared" si="10"/>
        <v>0</v>
      </c>
      <c r="O143" s="124">
        <f t="shared" si="11"/>
        <v>788.95</v>
      </c>
      <c r="P143" s="124">
        <f t="shared" si="12"/>
        <v>18</v>
      </c>
      <c r="Q143" s="124">
        <f t="shared" si="12"/>
        <v>571.5</v>
      </c>
      <c r="R143" s="124">
        <f t="shared" si="12"/>
        <v>0</v>
      </c>
      <c r="S143" s="118">
        <f t="shared" si="14"/>
        <v>589.5</v>
      </c>
      <c r="T143" s="160"/>
      <c r="U143" s="160"/>
      <c r="V143" s="161">
        <v>0</v>
      </c>
      <c r="W143" s="160">
        <v>8374</v>
      </c>
      <c r="X143" s="160"/>
      <c r="Y143" s="160">
        <f>8374-E143</f>
        <v>8275.5499999999993</v>
      </c>
      <c r="Z143" s="161">
        <v>0</v>
      </c>
      <c r="AA143" s="123"/>
      <c r="AB143" s="125">
        <v>9654</v>
      </c>
      <c r="AC143" s="117"/>
      <c r="AD143" s="118">
        <f t="shared" si="19"/>
        <v>788.95</v>
      </c>
      <c r="AE143" s="118"/>
      <c r="AF143" s="118" t="e">
        <f>#REF!-AE143</f>
        <v>#REF!</v>
      </c>
      <c r="AG143" s="118">
        <v>18</v>
      </c>
      <c r="AH143" s="118" t="e">
        <f>#REF!-AG143</f>
        <v>#REF!</v>
      </c>
      <c r="AI143" s="118"/>
      <c r="AJ143" s="119"/>
      <c r="AK143" s="120">
        <f t="shared" si="20"/>
        <v>9752.4500000000007</v>
      </c>
    </row>
    <row r="144" spans="1:37" s="109" customFormat="1" ht="13.5" x14ac:dyDescent="0.25">
      <c r="A144" s="121">
        <v>46</v>
      </c>
      <c r="B144" s="122" t="s">
        <v>117</v>
      </c>
      <c r="C144" s="122">
        <v>51</v>
      </c>
      <c r="D144" s="122">
        <v>2</v>
      </c>
      <c r="E144" s="160">
        <f>291.93</f>
        <v>291.93</v>
      </c>
      <c r="F144" s="160">
        <f>1794+E144</f>
        <v>2085.9299999999998</v>
      </c>
      <c r="G144" s="160">
        <v>711.93</v>
      </c>
      <c r="H144" s="161">
        <v>138</v>
      </c>
      <c r="I144" s="161">
        <v>1236</v>
      </c>
      <c r="J144" s="161"/>
      <c r="K144" s="123">
        <f t="shared" si="13"/>
        <v>711.93</v>
      </c>
      <c r="L144" s="124">
        <f t="shared" si="10"/>
        <v>69</v>
      </c>
      <c r="M144" s="124">
        <f t="shared" si="10"/>
        <v>618</v>
      </c>
      <c r="N144" s="124">
        <f t="shared" si="10"/>
        <v>0</v>
      </c>
      <c r="O144" s="124">
        <f t="shared" si="11"/>
        <v>1398.9299999999998</v>
      </c>
      <c r="P144" s="124">
        <f t="shared" si="12"/>
        <v>69</v>
      </c>
      <c r="Q144" s="124">
        <f t="shared" si="12"/>
        <v>618</v>
      </c>
      <c r="R144" s="124">
        <f t="shared" si="12"/>
        <v>0</v>
      </c>
      <c r="S144" s="118">
        <f t="shared" si="14"/>
        <v>687</v>
      </c>
      <c r="T144" s="160">
        <v>417</v>
      </c>
      <c r="U144" s="160"/>
      <c r="V144" s="161">
        <v>417</v>
      </c>
      <c r="W144" s="160">
        <v>4667</v>
      </c>
      <c r="X144" s="160"/>
      <c r="Y144" s="160">
        <f>4667-E144</f>
        <v>4375.07</v>
      </c>
      <c r="Z144" s="161">
        <v>0</v>
      </c>
      <c r="AA144" s="123"/>
      <c r="AB144" s="125">
        <v>6878</v>
      </c>
      <c r="AC144" s="117"/>
      <c r="AD144" s="118">
        <f t="shared" si="19"/>
        <v>1398.9299999999998</v>
      </c>
      <c r="AE144" s="118"/>
      <c r="AF144" s="118" t="e">
        <f>#REF!-AE144</f>
        <v>#REF!</v>
      </c>
      <c r="AG144" s="118">
        <v>42</v>
      </c>
      <c r="AH144" s="118" t="e">
        <f>#REF!-AG144</f>
        <v>#REF!</v>
      </c>
      <c r="AI144" s="118"/>
      <c r="AJ144" s="119"/>
      <c r="AK144" s="120">
        <f t="shared" si="20"/>
        <v>7169.93</v>
      </c>
    </row>
    <row r="145" spans="1:37" s="109" customFormat="1" ht="13.5" x14ac:dyDescent="0.25">
      <c r="A145" s="121">
        <v>47</v>
      </c>
      <c r="B145" s="122" t="s">
        <v>139</v>
      </c>
      <c r="C145" s="122">
        <v>3</v>
      </c>
      <c r="D145" s="122"/>
      <c r="E145" s="160"/>
      <c r="F145" s="160">
        <v>2061</v>
      </c>
      <c r="G145" s="160">
        <f>65+135</f>
        <v>200</v>
      </c>
      <c r="H145" s="161">
        <f>356</f>
        <v>356</v>
      </c>
      <c r="I145" s="161">
        <f>378-121-22</f>
        <v>235</v>
      </c>
      <c r="J145" s="161">
        <v>1270</v>
      </c>
      <c r="K145" s="123">
        <f t="shared" si="13"/>
        <v>200</v>
      </c>
      <c r="L145" s="124">
        <f t="shared" si="10"/>
        <v>178</v>
      </c>
      <c r="M145" s="124">
        <f t="shared" si="10"/>
        <v>117.5</v>
      </c>
      <c r="N145" s="124">
        <f t="shared" si="10"/>
        <v>635</v>
      </c>
      <c r="O145" s="124">
        <f t="shared" si="11"/>
        <v>1130.5</v>
      </c>
      <c r="P145" s="124">
        <f t="shared" si="12"/>
        <v>178</v>
      </c>
      <c r="Q145" s="124">
        <f t="shared" si="12"/>
        <v>117.5</v>
      </c>
      <c r="R145" s="124">
        <f t="shared" si="12"/>
        <v>635</v>
      </c>
      <c r="S145" s="118">
        <f t="shared" si="14"/>
        <v>930.5</v>
      </c>
      <c r="T145" s="160">
        <v>182</v>
      </c>
      <c r="U145" s="160"/>
      <c r="V145" s="161">
        <v>182</v>
      </c>
      <c r="W145" s="160">
        <v>2541</v>
      </c>
      <c r="X145" s="160"/>
      <c r="Y145" s="160">
        <v>2541</v>
      </c>
      <c r="Z145" s="161">
        <v>0</v>
      </c>
      <c r="AA145" s="123">
        <v>14</v>
      </c>
      <c r="AB145" s="125">
        <v>4784</v>
      </c>
      <c r="AC145" s="117"/>
      <c r="AD145" s="118">
        <f t="shared" si="19"/>
        <v>1130.5</v>
      </c>
      <c r="AE145" s="118"/>
      <c r="AF145" s="118" t="e">
        <f>#REF!-AE145</f>
        <v>#REF!</v>
      </c>
      <c r="AG145" s="118"/>
      <c r="AH145" s="118" t="e">
        <f>#REF!-AG145</f>
        <v>#REF!</v>
      </c>
      <c r="AI145" s="118">
        <v>14</v>
      </c>
      <c r="AJ145" s="119"/>
      <c r="AK145" s="120">
        <f t="shared" si="20"/>
        <v>4784</v>
      </c>
    </row>
    <row r="146" spans="1:37" s="109" customFormat="1" ht="13.5" x14ac:dyDescent="0.25">
      <c r="A146" s="121">
        <v>48</v>
      </c>
      <c r="B146" s="122" t="s">
        <v>139</v>
      </c>
      <c r="C146" s="122">
        <v>4</v>
      </c>
      <c r="D146" s="122"/>
      <c r="E146" s="160">
        <f>529.7</f>
        <v>529.70000000000005</v>
      </c>
      <c r="F146" s="160">
        <f>2695+E146</f>
        <v>3224.7</v>
      </c>
      <c r="G146" s="160">
        <f>296+E146</f>
        <v>825.7</v>
      </c>
      <c r="H146" s="161">
        <v>272</v>
      </c>
      <c r="I146" s="161">
        <f>507-24</f>
        <v>483</v>
      </c>
      <c r="J146" s="161">
        <v>1644</v>
      </c>
      <c r="K146" s="123">
        <f t="shared" si="13"/>
        <v>825.7</v>
      </c>
      <c r="L146" s="124">
        <f t="shared" si="10"/>
        <v>136</v>
      </c>
      <c r="M146" s="124">
        <f t="shared" si="10"/>
        <v>241.5</v>
      </c>
      <c r="N146" s="124">
        <f t="shared" si="10"/>
        <v>822</v>
      </c>
      <c r="O146" s="124">
        <f t="shared" si="11"/>
        <v>2025.2</v>
      </c>
      <c r="P146" s="124">
        <f t="shared" si="12"/>
        <v>136</v>
      </c>
      <c r="Q146" s="124">
        <f t="shared" si="12"/>
        <v>241.5</v>
      </c>
      <c r="R146" s="124">
        <f t="shared" si="12"/>
        <v>822</v>
      </c>
      <c r="S146" s="118">
        <f t="shared" si="14"/>
        <v>1199.5</v>
      </c>
      <c r="T146" s="160">
        <f>49+59+1082</f>
        <v>1190</v>
      </c>
      <c r="U146" s="160"/>
      <c r="V146" s="161">
        <v>1190</v>
      </c>
      <c r="W146" s="160">
        <f>4934</f>
        <v>4934</v>
      </c>
      <c r="X146" s="160"/>
      <c r="Y146" s="160">
        <f>4934-E146</f>
        <v>4404.3</v>
      </c>
      <c r="Z146" s="161">
        <v>0</v>
      </c>
      <c r="AA146" s="123">
        <v>7</v>
      </c>
      <c r="AB146" s="125">
        <v>8819</v>
      </c>
      <c r="AC146" s="117"/>
      <c r="AD146" s="118">
        <f t="shared" si="19"/>
        <v>2025.2</v>
      </c>
      <c r="AE146" s="118"/>
      <c r="AF146" s="118" t="e">
        <f>#REF!-AE146</f>
        <v>#REF!</v>
      </c>
      <c r="AG146" s="118"/>
      <c r="AH146" s="118" t="e">
        <f>#REF!-AG146</f>
        <v>#REF!</v>
      </c>
      <c r="AI146" s="118">
        <v>7</v>
      </c>
      <c r="AJ146" s="119"/>
      <c r="AK146" s="120">
        <f t="shared" si="20"/>
        <v>9348.7000000000007</v>
      </c>
    </row>
    <row r="147" spans="1:37" s="109" customFormat="1" ht="13.5" x14ac:dyDescent="0.25">
      <c r="A147" s="121">
        <v>49</v>
      </c>
      <c r="B147" s="122" t="s">
        <v>139</v>
      </c>
      <c r="C147" s="122">
        <v>16</v>
      </c>
      <c r="D147" s="122"/>
      <c r="E147" s="160">
        <f>151.2</f>
        <v>151.19999999999999</v>
      </c>
      <c r="F147" s="160">
        <f>1063+E147</f>
        <v>1214.2</v>
      </c>
      <c r="G147" s="160">
        <v>230.2</v>
      </c>
      <c r="H147" s="161">
        <v>138</v>
      </c>
      <c r="I147" s="161">
        <v>403</v>
      </c>
      <c r="J147" s="161">
        <v>443</v>
      </c>
      <c r="K147" s="123">
        <f t="shared" si="13"/>
        <v>230.2</v>
      </c>
      <c r="L147" s="124">
        <f t="shared" si="10"/>
        <v>69</v>
      </c>
      <c r="M147" s="124">
        <f t="shared" si="10"/>
        <v>201.5</v>
      </c>
      <c r="N147" s="124">
        <f t="shared" si="10"/>
        <v>221.5</v>
      </c>
      <c r="O147" s="124">
        <f t="shared" si="11"/>
        <v>722.2</v>
      </c>
      <c r="P147" s="124">
        <f t="shared" si="12"/>
        <v>69</v>
      </c>
      <c r="Q147" s="124">
        <f t="shared" si="12"/>
        <v>201.5</v>
      </c>
      <c r="R147" s="124">
        <f t="shared" si="12"/>
        <v>221.5</v>
      </c>
      <c r="S147" s="118">
        <f t="shared" si="14"/>
        <v>492</v>
      </c>
      <c r="T147" s="160"/>
      <c r="U147" s="160"/>
      <c r="V147" s="161">
        <v>0</v>
      </c>
      <c r="W147" s="160">
        <v>5597</v>
      </c>
      <c r="X147" s="160"/>
      <c r="Y147" s="160">
        <f>5597-E147</f>
        <v>5445.8</v>
      </c>
      <c r="Z147" s="161">
        <v>0</v>
      </c>
      <c r="AA147" s="123">
        <v>7</v>
      </c>
      <c r="AB147" s="125">
        <v>6660</v>
      </c>
      <c r="AC147" s="117">
        <v>24</v>
      </c>
      <c r="AD147" s="118">
        <f t="shared" si="19"/>
        <v>698.2</v>
      </c>
      <c r="AE147" s="118"/>
      <c r="AF147" s="118" t="e">
        <f>#REF!-AE147</f>
        <v>#REF!</v>
      </c>
      <c r="AG147" s="118">
        <v>84</v>
      </c>
      <c r="AH147" s="118" t="e">
        <f>#REF!-AG147</f>
        <v>#REF!</v>
      </c>
      <c r="AI147" s="118">
        <v>7</v>
      </c>
      <c r="AJ147" s="119"/>
      <c r="AK147" s="120">
        <f t="shared" si="20"/>
        <v>6811.2</v>
      </c>
    </row>
    <row r="148" spans="1:37" s="109" customFormat="1" ht="13.5" x14ac:dyDescent="0.25">
      <c r="A148" s="121">
        <v>50</v>
      </c>
      <c r="B148" s="122" t="s">
        <v>139</v>
      </c>
      <c r="C148" s="122">
        <v>33</v>
      </c>
      <c r="D148" s="122">
        <v>1</v>
      </c>
      <c r="E148" s="160">
        <f>392</f>
        <v>392</v>
      </c>
      <c r="F148" s="160">
        <f>1121+E148</f>
        <v>1513</v>
      </c>
      <c r="G148" s="160">
        <v>643</v>
      </c>
      <c r="H148" s="161">
        <v>202</v>
      </c>
      <c r="I148" s="161">
        <f>701-103</f>
        <v>598</v>
      </c>
      <c r="J148" s="161">
        <v>70</v>
      </c>
      <c r="K148" s="123">
        <f t="shared" si="13"/>
        <v>643</v>
      </c>
      <c r="L148" s="124">
        <f t="shared" ref="L148:N200" si="21">H148/2</f>
        <v>101</v>
      </c>
      <c r="M148" s="124">
        <f t="shared" si="21"/>
        <v>299</v>
      </c>
      <c r="N148" s="124">
        <f t="shared" si="21"/>
        <v>35</v>
      </c>
      <c r="O148" s="124">
        <f t="shared" ref="O148:O200" si="22">SUM(K148:N148)</f>
        <v>1078</v>
      </c>
      <c r="P148" s="124">
        <f t="shared" ref="P148:R200" si="23">H148/2</f>
        <v>101</v>
      </c>
      <c r="Q148" s="124">
        <f t="shared" si="23"/>
        <v>299</v>
      </c>
      <c r="R148" s="124">
        <f t="shared" si="23"/>
        <v>35</v>
      </c>
      <c r="S148" s="118">
        <f t="shared" si="14"/>
        <v>435</v>
      </c>
      <c r="T148" s="160"/>
      <c r="U148" s="160"/>
      <c r="V148" s="161">
        <v>0</v>
      </c>
      <c r="W148" s="160">
        <f>16+3020</f>
        <v>3036</v>
      </c>
      <c r="X148" s="160"/>
      <c r="Y148" s="182">
        <f>3036-E148</f>
        <v>2644</v>
      </c>
      <c r="Z148" s="161">
        <v>0</v>
      </c>
      <c r="AA148" s="123"/>
      <c r="AB148" s="125">
        <v>4157</v>
      </c>
      <c r="AC148" s="117"/>
      <c r="AD148" s="118">
        <f t="shared" si="19"/>
        <v>1078</v>
      </c>
      <c r="AE148" s="118"/>
      <c r="AF148" s="118" t="e">
        <f>#REF!-AE148</f>
        <v>#REF!</v>
      </c>
      <c r="AG148" s="118">
        <v>12</v>
      </c>
      <c r="AH148" s="118" t="e">
        <f>#REF!-AG148</f>
        <v>#REF!</v>
      </c>
      <c r="AI148" s="118"/>
      <c r="AJ148" s="119"/>
      <c r="AK148" s="120">
        <f t="shared" si="20"/>
        <v>4549</v>
      </c>
    </row>
    <row r="149" spans="1:37" s="109" customFormat="1" ht="13.5" x14ac:dyDescent="0.25">
      <c r="A149" s="121">
        <v>51</v>
      </c>
      <c r="B149" s="122" t="s">
        <v>139</v>
      </c>
      <c r="C149" s="122">
        <v>33</v>
      </c>
      <c r="D149" s="122">
        <v>2</v>
      </c>
      <c r="E149" s="160"/>
      <c r="F149" s="160">
        <v>1180</v>
      </c>
      <c r="G149" s="160">
        <f>160+139</f>
        <v>299</v>
      </c>
      <c r="H149" s="161">
        <v>104</v>
      </c>
      <c r="I149" s="161">
        <f>223-139</f>
        <v>84</v>
      </c>
      <c r="J149" s="161">
        <v>693</v>
      </c>
      <c r="K149" s="123">
        <f t="shared" ref="K149:K200" si="24">G149</f>
        <v>299</v>
      </c>
      <c r="L149" s="124">
        <f t="shared" si="21"/>
        <v>52</v>
      </c>
      <c r="M149" s="124">
        <f t="shared" si="21"/>
        <v>42</v>
      </c>
      <c r="N149" s="124">
        <f t="shared" si="21"/>
        <v>346.5</v>
      </c>
      <c r="O149" s="124">
        <f t="shared" si="22"/>
        <v>739.5</v>
      </c>
      <c r="P149" s="124">
        <f t="shared" si="23"/>
        <v>52</v>
      </c>
      <c r="Q149" s="124">
        <f t="shared" si="23"/>
        <v>42</v>
      </c>
      <c r="R149" s="124">
        <f t="shared" si="23"/>
        <v>346.5</v>
      </c>
      <c r="S149" s="118">
        <f t="shared" ref="S149:S200" si="25">SUM(P149:R149)</f>
        <v>440.5</v>
      </c>
      <c r="T149" s="160">
        <f>93</f>
        <v>93</v>
      </c>
      <c r="U149" s="160"/>
      <c r="V149" s="161">
        <v>93</v>
      </c>
      <c r="W149" s="160">
        <v>3059</v>
      </c>
      <c r="X149" s="160"/>
      <c r="Y149" s="182">
        <v>3059</v>
      </c>
      <c r="Z149" s="161">
        <v>0</v>
      </c>
      <c r="AA149" s="123"/>
      <c r="AB149" s="125">
        <v>4332</v>
      </c>
      <c r="AC149" s="117"/>
      <c r="AD149" s="118">
        <f t="shared" si="19"/>
        <v>739.5</v>
      </c>
      <c r="AE149" s="118"/>
      <c r="AF149" s="118" t="e">
        <f>#REF!-AE149</f>
        <v>#REF!</v>
      </c>
      <c r="AG149" s="118">
        <v>72</v>
      </c>
      <c r="AH149" s="118" t="e">
        <f>#REF!-AG149</f>
        <v>#REF!</v>
      </c>
      <c r="AI149" s="118"/>
      <c r="AJ149" s="119"/>
      <c r="AK149" s="120">
        <f t="shared" si="20"/>
        <v>4332</v>
      </c>
    </row>
    <row r="150" spans="1:37" s="109" customFormat="1" ht="13.5" x14ac:dyDescent="0.25">
      <c r="A150" s="121">
        <v>52</v>
      </c>
      <c r="B150" s="122" t="s">
        <v>139</v>
      </c>
      <c r="C150" s="122">
        <v>33</v>
      </c>
      <c r="D150" s="122">
        <v>4</v>
      </c>
      <c r="E150" s="160">
        <f>187.2</f>
        <v>187.2</v>
      </c>
      <c r="F150" s="160">
        <f>1824+E150</f>
        <v>2011.2</v>
      </c>
      <c r="G150" s="160">
        <v>818.2</v>
      </c>
      <c r="H150" s="161">
        <v>106</v>
      </c>
      <c r="I150" s="161">
        <v>412</v>
      </c>
      <c r="J150" s="161">
        <v>675</v>
      </c>
      <c r="K150" s="123">
        <f t="shared" si="24"/>
        <v>818.2</v>
      </c>
      <c r="L150" s="124">
        <f t="shared" si="21"/>
        <v>53</v>
      </c>
      <c r="M150" s="124">
        <f t="shared" si="21"/>
        <v>206</v>
      </c>
      <c r="N150" s="124">
        <f t="shared" si="21"/>
        <v>337.5</v>
      </c>
      <c r="O150" s="124">
        <f t="shared" si="22"/>
        <v>1414.7</v>
      </c>
      <c r="P150" s="124">
        <f t="shared" si="23"/>
        <v>53</v>
      </c>
      <c r="Q150" s="124">
        <f t="shared" si="23"/>
        <v>206</v>
      </c>
      <c r="R150" s="124">
        <f t="shared" si="23"/>
        <v>337.5</v>
      </c>
      <c r="S150" s="118">
        <f t="shared" si="25"/>
        <v>596.5</v>
      </c>
      <c r="T150" s="160">
        <v>77</v>
      </c>
      <c r="U150" s="160"/>
      <c r="V150" s="161">
        <v>77</v>
      </c>
      <c r="W150" s="160">
        <v>3064</v>
      </c>
      <c r="X150" s="160"/>
      <c r="Y150" s="182">
        <f>3064-E150</f>
        <v>2876.8</v>
      </c>
      <c r="Z150" s="161">
        <v>0</v>
      </c>
      <c r="AA150" s="123"/>
      <c r="AB150" s="125">
        <v>4965</v>
      </c>
      <c r="AC150" s="117"/>
      <c r="AD150" s="118">
        <f t="shared" si="19"/>
        <v>1414.7</v>
      </c>
      <c r="AE150" s="118"/>
      <c r="AF150" s="118" t="e">
        <f>#REF!-AE150</f>
        <v>#REF!</v>
      </c>
      <c r="AG150" s="118"/>
      <c r="AH150" s="118" t="e">
        <f>#REF!-AG150</f>
        <v>#REF!</v>
      </c>
      <c r="AI150" s="118"/>
      <c r="AJ150" s="119"/>
      <c r="AK150" s="120">
        <f t="shared" si="20"/>
        <v>5152.2</v>
      </c>
    </row>
    <row r="151" spans="1:37" s="109" customFormat="1" ht="13.5" x14ac:dyDescent="0.25">
      <c r="A151" s="121">
        <v>53</v>
      </c>
      <c r="B151" s="122" t="s">
        <v>139</v>
      </c>
      <c r="C151" s="122">
        <v>33</v>
      </c>
      <c r="D151" s="122">
        <v>5</v>
      </c>
      <c r="E151" s="160">
        <f>125</f>
        <v>125</v>
      </c>
      <c r="F151" s="160">
        <f>1831+E151</f>
        <v>1956</v>
      </c>
      <c r="G151" s="160">
        <f>81+E151</f>
        <v>206</v>
      </c>
      <c r="H151" s="161">
        <f>221</f>
        <v>221</v>
      </c>
      <c r="I151" s="161">
        <f>1356</f>
        <v>1356</v>
      </c>
      <c r="J151" s="161">
        <v>173</v>
      </c>
      <c r="K151" s="123">
        <f t="shared" si="24"/>
        <v>206</v>
      </c>
      <c r="L151" s="124">
        <f t="shared" si="21"/>
        <v>110.5</v>
      </c>
      <c r="M151" s="124">
        <f t="shared" si="21"/>
        <v>678</v>
      </c>
      <c r="N151" s="124">
        <f t="shared" si="21"/>
        <v>86.5</v>
      </c>
      <c r="O151" s="124">
        <f t="shared" si="22"/>
        <v>1081</v>
      </c>
      <c r="P151" s="124">
        <f t="shared" si="23"/>
        <v>110.5</v>
      </c>
      <c r="Q151" s="124">
        <f t="shared" si="23"/>
        <v>678</v>
      </c>
      <c r="R151" s="124">
        <f t="shared" si="23"/>
        <v>86.5</v>
      </c>
      <c r="S151" s="118">
        <f t="shared" si="25"/>
        <v>875</v>
      </c>
      <c r="T151" s="160"/>
      <c r="U151" s="160"/>
      <c r="V151" s="161">
        <v>0</v>
      </c>
      <c r="W151" s="160">
        <v>2018</v>
      </c>
      <c r="X151" s="160"/>
      <c r="Y151" s="182">
        <f>2018-E151</f>
        <v>1893</v>
      </c>
      <c r="Z151" s="161">
        <v>0</v>
      </c>
      <c r="AA151" s="123">
        <v>21</v>
      </c>
      <c r="AB151" s="125">
        <v>3849</v>
      </c>
      <c r="AC151" s="117"/>
      <c r="AD151" s="118">
        <f t="shared" si="19"/>
        <v>1081</v>
      </c>
      <c r="AE151" s="118"/>
      <c r="AF151" s="118" t="e">
        <f>#REF!-AE151</f>
        <v>#REF!</v>
      </c>
      <c r="AG151" s="118"/>
      <c r="AH151" s="118" t="e">
        <f>#REF!-AG151</f>
        <v>#REF!</v>
      </c>
      <c r="AI151" s="118">
        <v>21</v>
      </c>
      <c r="AJ151" s="119"/>
      <c r="AK151" s="120">
        <f t="shared" si="20"/>
        <v>3974</v>
      </c>
    </row>
    <row r="152" spans="1:37" s="109" customFormat="1" ht="13.5" x14ac:dyDescent="0.25">
      <c r="A152" s="121">
        <v>54</v>
      </c>
      <c r="B152" s="122" t="s">
        <v>139</v>
      </c>
      <c r="C152" s="122">
        <v>33</v>
      </c>
      <c r="D152" s="122">
        <v>6</v>
      </c>
      <c r="E152" s="160"/>
      <c r="F152" s="160">
        <v>1726</v>
      </c>
      <c r="G152" s="160">
        <f>81</f>
        <v>81</v>
      </c>
      <c r="H152" s="161">
        <f>167+323</f>
        <v>490</v>
      </c>
      <c r="I152" s="161">
        <f>391</f>
        <v>391</v>
      </c>
      <c r="J152" s="161">
        <v>764</v>
      </c>
      <c r="K152" s="123">
        <f t="shared" si="24"/>
        <v>81</v>
      </c>
      <c r="L152" s="124">
        <f t="shared" si="21"/>
        <v>245</v>
      </c>
      <c r="M152" s="124">
        <f t="shared" si="21"/>
        <v>195.5</v>
      </c>
      <c r="N152" s="124">
        <f t="shared" si="21"/>
        <v>382</v>
      </c>
      <c r="O152" s="124">
        <f t="shared" si="22"/>
        <v>903.5</v>
      </c>
      <c r="P152" s="124">
        <f t="shared" si="23"/>
        <v>245</v>
      </c>
      <c r="Q152" s="124">
        <f t="shared" si="23"/>
        <v>195.5</v>
      </c>
      <c r="R152" s="124">
        <f t="shared" si="23"/>
        <v>382</v>
      </c>
      <c r="S152" s="118">
        <f t="shared" si="25"/>
        <v>822.5</v>
      </c>
      <c r="T152" s="160"/>
      <c r="U152" s="160"/>
      <c r="V152" s="161">
        <v>0</v>
      </c>
      <c r="W152" s="160">
        <v>3618</v>
      </c>
      <c r="X152" s="160"/>
      <c r="Y152" s="182">
        <v>3618</v>
      </c>
      <c r="Z152" s="161">
        <v>47</v>
      </c>
      <c r="AA152" s="123"/>
      <c r="AB152" s="125">
        <v>5391</v>
      </c>
      <c r="AC152" s="117"/>
      <c r="AD152" s="118">
        <f t="shared" si="19"/>
        <v>903.5</v>
      </c>
      <c r="AE152" s="118"/>
      <c r="AF152" s="118" t="e">
        <f>#REF!-AE152</f>
        <v>#REF!</v>
      </c>
      <c r="AG152" s="118">
        <v>12</v>
      </c>
      <c r="AH152" s="118" t="e">
        <f>#REF!-AG152</f>
        <v>#REF!</v>
      </c>
      <c r="AI152" s="118"/>
      <c r="AJ152" s="119"/>
      <c r="AK152" s="120">
        <f t="shared" si="20"/>
        <v>5344</v>
      </c>
    </row>
    <row r="153" spans="1:37" s="109" customFormat="1" ht="13.5" x14ac:dyDescent="0.25">
      <c r="A153" s="121">
        <v>55</v>
      </c>
      <c r="B153" s="122" t="s">
        <v>139</v>
      </c>
      <c r="C153" s="122">
        <v>33</v>
      </c>
      <c r="D153" s="122">
        <v>7</v>
      </c>
      <c r="E153" s="160"/>
      <c r="F153" s="160">
        <v>545</v>
      </c>
      <c r="G153" s="160">
        <f>81</f>
        <v>81</v>
      </c>
      <c r="H153" s="161">
        <v>56</v>
      </c>
      <c r="I153" s="161"/>
      <c r="J153" s="161">
        <v>408</v>
      </c>
      <c r="K153" s="123">
        <f t="shared" si="24"/>
        <v>81</v>
      </c>
      <c r="L153" s="124">
        <f t="shared" si="21"/>
        <v>28</v>
      </c>
      <c r="M153" s="124">
        <f t="shared" si="21"/>
        <v>0</v>
      </c>
      <c r="N153" s="124">
        <f t="shared" si="21"/>
        <v>204</v>
      </c>
      <c r="O153" s="124">
        <f t="shared" si="22"/>
        <v>313</v>
      </c>
      <c r="P153" s="124">
        <f t="shared" si="23"/>
        <v>28</v>
      </c>
      <c r="Q153" s="124">
        <f t="shared" si="23"/>
        <v>0</v>
      </c>
      <c r="R153" s="124">
        <f t="shared" si="23"/>
        <v>204</v>
      </c>
      <c r="S153" s="118">
        <f t="shared" si="25"/>
        <v>232</v>
      </c>
      <c r="T153" s="160">
        <v>157</v>
      </c>
      <c r="U153" s="160"/>
      <c r="V153" s="161">
        <v>157</v>
      </c>
      <c r="W153" s="160">
        <v>3091</v>
      </c>
      <c r="X153" s="160"/>
      <c r="Y153" s="182">
        <v>3091</v>
      </c>
      <c r="Z153" s="161">
        <v>0</v>
      </c>
      <c r="AA153" s="123"/>
      <c r="AB153" s="125">
        <v>3793</v>
      </c>
      <c r="AC153" s="117"/>
      <c r="AD153" s="118">
        <f t="shared" si="19"/>
        <v>313</v>
      </c>
      <c r="AE153" s="118"/>
      <c r="AF153" s="118" t="e">
        <f>#REF!-AE153</f>
        <v>#REF!</v>
      </c>
      <c r="AG153" s="118"/>
      <c r="AH153" s="118" t="e">
        <f>#REF!-AG153</f>
        <v>#REF!</v>
      </c>
      <c r="AI153" s="118"/>
      <c r="AJ153" s="119"/>
      <c r="AK153" s="120">
        <f t="shared" si="20"/>
        <v>3793</v>
      </c>
    </row>
    <row r="154" spans="1:37" s="109" customFormat="1" ht="13.5" x14ac:dyDescent="0.25">
      <c r="A154" s="121">
        <v>56</v>
      </c>
      <c r="B154" s="122" t="s">
        <v>140</v>
      </c>
      <c r="C154" s="122">
        <v>4</v>
      </c>
      <c r="D154" s="122"/>
      <c r="E154" s="160"/>
      <c r="F154" s="160">
        <v>7590</v>
      </c>
      <c r="G154" s="160">
        <f>1234</f>
        <v>1234</v>
      </c>
      <c r="H154" s="161">
        <v>519</v>
      </c>
      <c r="I154" s="161">
        <v>1156</v>
      </c>
      <c r="J154" s="161">
        <v>4681</v>
      </c>
      <c r="K154" s="123">
        <f t="shared" si="24"/>
        <v>1234</v>
      </c>
      <c r="L154" s="124">
        <f t="shared" si="21"/>
        <v>259.5</v>
      </c>
      <c r="M154" s="124">
        <f t="shared" si="21"/>
        <v>578</v>
      </c>
      <c r="N154" s="124">
        <f t="shared" si="21"/>
        <v>2340.5</v>
      </c>
      <c r="O154" s="124">
        <f t="shared" si="22"/>
        <v>4412</v>
      </c>
      <c r="P154" s="124">
        <f t="shared" si="23"/>
        <v>259.5</v>
      </c>
      <c r="Q154" s="124">
        <f t="shared" si="23"/>
        <v>578</v>
      </c>
      <c r="R154" s="124">
        <f t="shared" si="23"/>
        <v>2340.5</v>
      </c>
      <c r="S154" s="118">
        <f t="shared" si="25"/>
        <v>3178</v>
      </c>
      <c r="T154" s="160">
        <v>174</v>
      </c>
      <c r="U154" s="160"/>
      <c r="V154" s="161">
        <v>174</v>
      </c>
      <c r="W154" s="179">
        <f>158+12081+565</f>
        <v>12804</v>
      </c>
      <c r="X154" s="160"/>
      <c r="Y154" s="160">
        <v>12804</v>
      </c>
      <c r="Z154" s="161">
        <v>0</v>
      </c>
      <c r="AA154" s="123">
        <v>24.5</v>
      </c>
      <c r="AB154" s="125">
        <v>20568</v>
      </c>
      <c r="AC154" s="117">
        <v>84</v>
      </c>
      <c r="AD154" s="118">
        <f t="shared" si="19"/>
        <v>4328</v>
      </c>
      <c r="AE154" s="118"/>
      <c r="AF154" s="118" t="e">
        <f>#REF!-AE154</f>
        <v>#REF!</v>
      </c>
      <c r="AG154" s="118">
        <v>96</v>
      </c>
      <c r="AH154" s="118" t="e">
        <f>#REF!-AG154</f>
        <v>#REF!</v>
      </c>
      <c r="AI154" s="118">
        <v>25</v>
      </c>
      <c r="AJ154" s="119"/>
      <c r="AK154" s="120">
        <f t="shared" si="20"/>
        <v>20568</v>
      </c>
    </row>
    <row r="155" spans="1:37" s="109" customFormat="1" ht="13.5" x14ac:dyDescent="0.25">
      <c r="A155" s="121">
        <v>57</v>
      </c>
      <c r="B155" s="122" t="s">
        <v>140</v>
      </c>
      <c r="C155" s="122">
        <v>4</v>
      </c>
      <c r="D155" s="122">
        <v>2</v>
      </c>
      <c r="E155" s="160"/>
      <c r="F155" s="160">
        <v>393</v>
      </c>
      <c r="G155" s="160">
        <v>393</v>
      </c>
      <c r="H155" s="161"/>
      <c r="I155" s="161"/>
      <c r="J155" s="161"/>
      <c r="K155" s="123">
        <f t="shared" si="24"/>
        <v>393</v>
      </c>
      <c r="L155" s="124">
        <f t="shared" si="21"/>
        <v>0</v>
      </c>
      <c r="M155" s="124">
        <f t="shared" si="21"/>
        <v>0</v>
      </c>
      <c r="N155" s="124">
        <f t="shared" si="21"/>
        <v>0</v>
      </c>
      <c r="O155" s="124">
        <f t="shared" si="22"/>
        <v>393</v>
      </c>
      <c r="P155" s="124">
        <f t="shared" si="23"/>
        <v>0</v>
      </c>
      <c r="Q155" s="124">
        <f t="shared" si="23"/>
        <v>0</v>
      </c>
      <c r="R155" s="124">
        <f t="shared" si="23"/>
        <v>0</v>
      </c>
      <c r="S155" s="118">
        <f t="shared" si="25"/>
        <v>0</v>
      </c>
      <c r="T155" s="160"/>
      <c r="U155" s="160"/>
      <c r="V155" s="161">
        <v>0</v>
      </c>
      <c r="W155" s="160">
        <v>93</v>
      </c>
      <c r="X155" s="160"/>
      <c r="Y155" s="160">
        <v>93</v>
      </c>
      <c r="Z155" s="161">
        <v>0</v>
      </c>
      <c r="AA155" s="123"/>
      <c r="AB155" s="125">
        <v>486</v>
      </c>
      <c r="AC155" s="117"/>
      <c r="AD155" s="118">
        <f t="shared" si="19"/>
        <v>393</v>
      </c>
      <c r="AE155" s="118"/>
      <c r="AF155" s="118" t="e">
        <f>#REF!-AE155</f>
        <v>#REF!</v>
      </c>
      <c r="AG155" s="118"/>
      <c r="AH155" s="118" t="e">
        <f>#REF!-AG155</f>
        <v>#REF!</v>
      </c>
      <c r="AI155" s="118"/>
      <c r="AJ155" s="119"/>
      <c r="AK155" s="120">
        <f t="shared" si="20"/>
        <v>486</v>
      </c>
    </row>
    <row r="156" spans="1:37" s="109" customFormat="1" ht="13.5" x14ac:dyDescent="0.25">
      <c r="A156" s="121">
        <v>58</v>
      </c>
      <c r="B156" s="122" t="s">
        <v>140</v>
      </c>
      <c r="C156" s="122">
        <v>8</v>
      </c>
      <c r="D156" s="122"/>
      <c r="E156" s="160">
        <f>186.84</f>
        <v>186.84</v>
      </c>
      <c r="F156" s="160">
        <f>4891+E156</f>
        <v>5077.84</v>
      </c>
      <c r="G156" s="160">
        <v>709.84</v>
      </c>
      <c r="H156" s="161">
        <v>461</v>
      </c>
      <c r="I156" s="161">
        <f>1467-1007-68+1007</f>
        <v>1399</v>
      </c>
      <c r="J156" s="161">
        <v>2508</v>
      </c>
      <c r="K156" s="123">
        <f t="shared" si="24"/>
        <v>709.84</v>
      </c>
      <c r="L156" s="124">
        <f t="shared" si="21"/>
        <v>230.5</v>
      </c>
      <c r="M156" s="124">
        <f t="shared" si="21"/>
        <v>699.5</v>
      </c>
      <c r="N156" s="124">
        <f t="shared" si="21"/>
        <v>1254</v>
      </c>
      <c r="O156" s="124">
        <f t="shared" si="22"/>
        <v>2893.84</v>
      </c>
      <c r="P156" s="124">
        <f t="shared" si="23"/>
        <v>230.5</v>
      </c>
      <c r="Q156" s="124">
        <f t="shared" si="23"/>
        <v>699.5</v>
      </c>
      <c r="R156" s="124">
        <f t="shared" si="23"/>
        <v>1254</v>
      </c>
      <c r="S156" s="118">
        <f t="shared" si="25"/>
        <v>2184</v>
      </c>
      <c r="T156" s="160">
        <f>321+258</f>
        <v>579</v>
      </c>
      <c r="U156" s="160"/>
      <c r="V156" s="161">
        <v>579</v>
      </c>
      <c r="W156" s="160">
        <v>12406</v>
      </c>
      <c r="X156" s="160"/>
      <c r="Y156" s="160">
        <f>12406-E156</f>
        <v>12219.16</v>
      </c>
      <c r="Z156" s="161">
        <v>724</v>
      </c>
      <c r="AA156" s="123"/>
      <c r="AB156" s="125">
        <v>18600</v>
      </c>
      <c r="AC156" s="117">
        <v>24</v>
      </c>
      <c r="AD156" s="118">
        <f t="shared" si="19"/>
        <v>2869.84</v>
      </c>
      <c r="AE156" s="118"/>
      <c r="AF156" s="118" t="e">
        <f>#REF!-AE156</f>
        <v>#REF!</v>
      </c>
      <c r="AG156" s="118">
        <v>72</v>
      </c>
      <c r="AH156" s="118" t="e">
        <f>#REF!-AG156</f>
        <v>#REF!</v>
      </c>
      <c r="AI156" s="118"/>
      <c r="AJ156" s="119"/>
      <c r="AK156" s="120">
        <f t="shared" si="20"/>
        <v>18062.84</v>
      </c>
    </row>
    <row r="157" spans="1:37" s="109" customFormat="1" ht="13.5" x14ac:dyDescent="0.25">
      <c r="A157" s="121">
        <v>59</v>
      </c>
      <c r="B157" s="122" t="s">
        <v>141</v>
      </c>
      <c r="C157" s="122">
        <v>3</v>
      </c>
      <c r="D157" s="122"/>
      <c r="E157" s="160">
        <f>3024+887</f>
        <v>3911</v>
      </c>
      <c r="F157" s="160">
        <f>1245+E157</f>
        <v>5156</v>
      </c>
      <c r="G157" s="160">
        <f>212+E157</f>
        <v>4123</v>
      </c>
      <c r="H157" s="161">
        <v>57</v>
      </c>
      <c r="I157" s="161">
        <v>16</v>
      </c>
      <c r="J157" s="161">
        <v>960</v>
      </c>
      <c r="K157" s="123">
        <f t="shared" si="24"/>
        <v>4123</v>
      </c>
      <c r="L157" s="124">
        <f t="shared" si="21"/>
        <v>28.5</v>
      </c>
      <c r="M157" s="124">
        <f t="shared" si="21"/>
        <v>8</v>
      </c>
      <c r="N157" s="124">
        <f t="shared" si="21"/>
        <v>480</v>
      </c>
      <c r="O157" s="124">
        <f t="shared" si="22"/>
        <v>4639.5</v>
      </c>
      <c r="P157" s="124">
        <f t="shared" si="23"/>
        <v>28.5</v>
      </c>
      <c r="Q157" s="124">
        <f t="shared" si="23"/>
        <v>8</v>
      </c>
      <c r="R157" s="124">
        <f t="shared" si="23"/>
        <v>480</v>
      </c>
      <c r="S157" s="118">
        <f t="shared" si="25"/>
        <v>516.5</v>
      </c>
      <c r="T157" s="160">
        <f>330+958</f>
        <v>1288</v>
      </c>
      <c r="U157" s="160"/>
      <c r="V157" s="161">
        <v>1288</v>
      </c>
      <c r="W157" s="160">
        <f>7+16373</f>
        <v>16380</v>
      </c>
      <c r="X157" s="160"/>
      <c r="Y157" s="160">
        <f>16380-E157</f>
        <v>12469</v>
      </c>
      <c r="Z157" s="161">
        <v>3395</v>
      </c>
      <c r="AA157" s="123"/>
      <c r="AB157" s="125">
        <v>22308</v>
      </c>
      <c r="AC157" s="117"/>
      <c r="AD157" s="118">
        <f t="shared" si="19"/>
        <v>4639.5</v>
      </c>
      <c r="AE157" s="118">
        <v>486</v>
      </c>
      <c r="AF157" s="118" t="e">
        <f>#REF!-AE157</f>
        <v>#REF!</v>
      </c>
      <c r="AG157" s="118"/>
      <c r="AH157" s="118" t="e">
        <f>#REF!-AG157</f>
        <v>#REF!</v>
      </c>
      <c r="AI157" s="118"/>
      <c r="AJ157" s="119"/>
      <c r="AK157" s="120">
        <f t="shared" si="20"/>
        <v>22824</v>
      </c>
    </row>
    <row r="158" spans="1:37" s="109" customFormat="1" ht="13.5" x14ac:dyDescent="0.25">
      <c r="A158" s="121">
        <v>60</v>
      </c>
      <c r="B158" s="122" t="s">
        <v>141</v>
      </c>
      <c r="C158" s="122">
        <v>3</v>
      </c>
      <c r="D158" s="122">
        <v>2</v>
      </c>
      <c r="E158" s="160">
        <f>191.5</f>
        <v>191.5</v>
      </c>
      <c r="F158" s="160">
        <f>1938+E158</f>
        <v>2129.5</v>
      </c>
      <c r="G158" s="160">
        <f>333+E158</f>
        <v>524.5</v>
      </c>
      <c r="H158" s="161">
        <v>50</v>
      </c>
      <c r="I158" s="161">
        <v>1027</v>
      </c>
      <c r="J158" s="161">
        <v>528</v>
      </c>
      <c r="K158" s="123">
        <f t="shared" si="24"/>
        <v>524.5</v>
      </c>
      <c r="L158" s="124">
        <f t="shared" si="21"/>
        <v>25</v>
      </c>
      <c r="M158" s="124">
        <f t="shared" si="21"/>
        <v>513.5</v>
      </c>
      <c r="N158" s="124">
        <f t="shared" si="21"/>
        <v>264</v>
      </c>
      <c r="O158" s="124">
        <f t="shared" si="22"/>
        <v>1327</v>
      </c>
      <c r="P158" s="124">
        <f t="shared" si="23"/>
        <v>25</v>
      </c>
      <c r="Q158" s="124">
        <f t="shared" si="23"/>
        <v>513.5</v>
      </c>
      <c r="R158" s="124">
        <f t="shared" si="23"/>
        <v>264</v>
      </c>
      <c r="S158" s="118">
        <f t="shared" si="25"/>
        <v>802.5</v>
      </c>
      <c r="T158" s="160"/>
      <c r="U158" s="160"/>
      <c r="V158" s="161">
        <v>0</v>
      </c>
      <c r="W158" s="160">
        <v>1218</v>
      </c>
      <c r="X158" s="160"/>
      <c r="Y158" s="160">
        <f>1218-E158</f>
        <v>1026.5</v>
      </c>
      <c r="Z158" s="161">
        <v>0</v>
      </c>
      <c r="AA158" s="123"/>
      <c r="AB158" s="125">
        <v>3156</v>
      </c>
      <c r="AC158" s="117">
        <v>78</v>
      </c>
      <c r="AD158" s="118">
        <f t="shared" si="19"/>
        <v>1249</v>
      </c>
      <c r="AE158" s="118"/>
      <c r="AF158" s="118" t="e">
        <f>#REF!-AE158</f>
        <v>#REF!</v>
      </c>
      <c r="AG158" s="118"/>
      <c r="AH158" s="118" t="e">
        <f>#REF!-AG158</f>
        <v>#REF!</v>
      </c>
      <c r="AI158" s="118"/>
      <c r="AJ158" s="119"/>
      <c r="AK158" s="120">
        <f t="shared" si="20"/>
        <v>3347.5</v>
      </c>
    </row>
    <row r="159" spans="1:37" s="109" customFormat="1" ht="13.5" x14ac:dyDescent="0.25">
      <c r="A159" s="121">
        <v>61</v>
      </c>
      <c r="B159" s="122" t="s">
        <v>141</v>
      </c>
      <c r="C159" s="122">
        <v>4</v>
      </c>
      <c r="D159" s="122"/>
      <c r="E159" s="160">
        <f>45</f>
        <v>45</v>
      </c>
      <c r="F159" s="160">
        <f>10340+64+E159</f>
        <v>10449</v>
      </c>
      <c r="G159" s="160">
        <f>1843+E159+64</f>
        <v>1952</v>
      </c>
      <c r="H159" s="161">
        <v>632</v>
      </c>
      <c r="I159" s="161">
        <f>2044+64-828</f>
        <v>1280</v>
      </c>
      <c r="J159" s="161">
        <v>6585</v>
      </c>
      <c r="K159" s="123">
        <f t="shared" si="24"/>
        <v>1952</v>
      </c>
      <c r="L159" s="124">
        <f t="shared" si="21"/>
        <v>316</v>
      </c>
      <c r="M159" s="124">
        <f t="shared" si="21"/>
        <v>640</v>
      </c>
      <c r="N159" s="124">
        <f t="shared" si="21"/>
        <v>3292.5</v>
      </c>
      <c r="O159" s="124">
        <f t="shared" si="22"/>
        <v>6200.5</v>
      </c>
      <c r="P159" s="124">
        <f t="shared" si="23"/>
        <v>316</v>
      </c>
      <c r="Q159" s="124">
        <f t="shared" si="23"/>
        <v>640</v>
      </c>
      <c r="R159" s="124">
        <f t="shared" si="23"/>
        <v>3292.5</v>
      </c>
      <c r="S159" s="118">
        <f t="shared" si="25"/>
        <v>4248.5</v>
      </c>
      <c r="T159" s="160">
        <f>179+665+70+859</f>
        <v>1773</v>
      </c>
      <c r="U159" s="160"/>
      <c r="V159" s="161">
        <v>1773</v>
      </c>
      <c r="W159" s="160">
        <v>22574</v>
      </c>
      <c r="X159" s="160"/>
      <c r="Y159" s="160">
        <f>22574-E159</f>
        <v>22529</v>
      </c>
      <c r="Z159" s="161">
        <v>8</v>
      </c>
      <c r="AA159" s="123">
        <v>28</v>
      </c>
      <c r="AB159" s="125">
        <v>34759</v>
      </c>
      <c r="AC159" s="117"/>
      <c r="AD159" s="118">
        <f t="shared" si="19"/>
        <v>6200.5</v>
      </c>
      <c r="AE159" s="118"/>
      <c r="AF159" s="118" t="e">
        <f>#REF!-AE159</f>
        <v>#REF!</v>
      </c>
      <c r="AG159" s="118">
        <v>24</v>
      </c>
      <c r="AH159" s="118" t="e">
        <f>#REF!-AG159</f>
        <v>#REF!</v>
      </c>
      <c r="AI159" s="118">
        <v>28</v>
      </c>
      <c r="AJ159" s="119"/>
      <c r="AK159" s="120">
        <f t="shared" si="20"/>
        <v>34796</v>
      </c>
    </row>
    <row r="160" spans="1:37" s="109" customFormat="1" ht="13.5" x14ac:dyDescent="0.25">
      <c r="A160" s="121">
        <v>62</v>
      </c>
      <c r="B160" s="122" t="s">
        <v>141</v>
      </c>
      <c r="C160" s="122">
        <v>5</v>
      </c>
      <c r="D160" s="122">
        <v>1</v>
      </c>
      <c r="E160" s="160">
        <f>252.5</f>
        <v>252.5</v>
      </c>
      <c r="F160" s="160">
        <f>1612+E160</f>
        <v>1864.5</v>
      </c>
      <c r="G160" s="160">
        <f>326+E160</f>
        <v>578.5</v>
      </c>
      <c r="H160" s="161">
        <v>24</v>
      </c>
      <c r="I160" s="161">
        <v>1262</v>
      </c>
      <c r="J160" s="161"/>
      <c r="K160" s="123">
        <f t="shared" si="24"/>
        <v>578.5</v>
      </c>
      <c r="L160" s="124">
        <f t="shared" si="21"/>
        <v>12</v>
      </c>
      <c r="M160" s="124">
        <f t="shared" si="21"/>
        <v>631</v>
      </c>
      <c r="N160" s="124">
        <f t="shared" si="21"/>
        <v>0</v>
      </c>
      <c r="O160" s="124">
        <f t="shared" si="22"/>
        <v>1221.5</v>
      </c>
      <c r="P160" s="124">
        <f t="shared" si="23"/>
        <v>12</v>
      </c>
      <c r="Q160" s="124">
        <f t="shared" si="23"/>
        <v>631</v>
      </c>
      <c r="R160" s="124">
        <f t="shared" si="23"/>
        <v>0</v>
      </c>
      <c r="S160" s="118">
        <f t="shared" si="25"/>
        <v>643</v>
      </c>
      <c r="T160" s="160">
        <f>162+61</f>
        <v>223</v>
      </c>
      <c r="U160" s="160"/>
      <c r="V160" s="161">
        <v>223</v>
      </c>
      <c r="W160" s="160">
        <v>2168</v>
      </c>
      <c r="X160" s="160"/>
      <c r="Y160" s="160">
        <f>2168-E160</f>
        <v>1915.5</v>
      </c>
      <c r="Z160" s="161">
        <v>0</v>
      </c>
      <c r="AA160" s="123"/>
      <c r="AB160" s="125">
        <v>4003</v>
      </c>
      <c r="AC160" s="117">
        <v>18</v>
      </c>
      <c r="AD160" s="118">
        <f t="shared" si="19"/>
        <v>1203.5</v>
      </c>
      <c r="AE160" s="118"/>
      <c r="AF160" s="118" t="e">
        <f>#REF!-AE160</f>
        <v>#REF!</v>
      </c>
      <c r="AG160" s="118"/>
      <c r="AH160" s="118" t="e">
        <f>#REF!-AG160</f>
        <v>#REF!</v>
      </c>
      <c r="AI160" s="118"/>
      <c r="AJ160" s="119"/>
      <c r="AK160" s="120">
        <f t="shared" si="20"/>
        <v>4255.5</v>
      </c>
    </row>
    <row r="161" spans="1:37" s="109" customFormat="1" ht="13.5" x14ac:dyDescent="0.25">
      <c r="A161" s="121">
        <v>63</v>
      </c>
      <c r="B161" s="122" t="s">
        <v>141</v>
      </c>
      <c r="C161" s="122">
        <v>5</v>
      </c>
      <c r="D161" s="122">
        <v>2</v>
      </c>
      <c r="E161" s="160">
        <f>373.05</f>
        <v>373.05</v>
      </c>
      <c r="F161" s="160">
        <f>1313+E161</f>
        <v>1686.05</v>
      </c>
      <c r="G161" s="160">
        <f>85+E161</f>
        <v>458.05</v>
      </c>
      <c r="H161" s="161">
        <v>192</v>
      </c>
      <c r="I161" s="161">
        <v>616</v>
      </c>
      <c r="J161" s="161">
        <v>420</v>
      </c>
      <c r="K161" s="123">
        <f t="shared" si="24"/>
        <v>458.05</v>
      </c>
      <c r="L161" s="124">
        <f t="shared" si="21"/>
        <v>96</v>
      </c>
      <c r="M161" s="124">
        <f t="shared" si="21"/>
        <v>308</v>
      </c>
      <c r="N161" s="124">
        <f t="shared" si="21"/>
        <v>210</v>
      </c>
      <c r="O161" s="124">
        <f t="shared" si="22"/>
        <v>1072.05</v>
      </c>
      <c r="P161" s="124">
        <f t="shared" si="23"/>
        <v>96</v>
      </c>
      <c r="Q161" s="124">
        <f t="shared" si="23"/>
        <v>308</v>
      </c>
      <c r="R161" s="124">
        <f t="shared" si="23"/>
        <v>210</v>
      </c>
      <c r="S161" s="118">
        <f t="shared" si="25"/>
        <v>614</v>
      </c>
      <c r="T161" s="160">
        <f>202</f>
        <v>202</v>
      </c>
      <c r="U161" s="160"/>
      <c r="V161" s="161">
        <v>202</v>
      </c>
      <c r="W161" s="160">
        <v>3143</v>
      </c>
      <c r="X161" s="160"/>
      <c r="Y161" s="160">
        <f>3143-E161</f>
        <v>2769.95</v>
      </c>
      <c r="Z161" s="161">
        <v>0</v>
      </c>
      <c r="AA161" s="123">
        <v>14</v>
      </c>
      <c r="AB161" s="125">
        <v>4658</v>
      </c>
      <c r="AC161" s="117">
        <v>6</v>
      </c>
      <c r="AD161" s="118">
        <f t="shared" si="19"/>
        <v>1066.05</v>
      </c>
      <c r="AE161" s="118"/>
      <c r="AF161" s="118" t="e">
        <f>#REF!-AE161</f>
        <v>#REF!</v>
      </c>
      <c r="AG161" s="118"/>
      <c r="AH161" s="118" t="e">
        <f>#REF!-AG161</f>
        <v>#REF!</v>
      </c>
      <c r="AI161" s="118">
        <v>14</v>
      </c>
      <c r="AJ161" s="119"/>
      <c r="AK161" s="120">
        <f t="shared" si="20"/>
        <v>5031.05</v>
      </c>
    </row>
    <row r="162" spans="1:37" s="109" customFormat="1" ht="13.5" x14ac:dyDescent="0.25">
      <c r="A162" s="121">
        <v>64</v>
      </c>
      <c r="B162" s="122" t="s">
        <v>141</v>
      </c>
      <c r="C162" s="122">
        <v>7</v>
      </c>
      <c r="D162" s="122">
        <v>1</v>
      </c>
      <c r="E162" s="160">
        <f>102.6</f>
        <v>102.6</v>
      </c>
      <c r="F162" s="160">
        <f>1754+E162</f>
        <v>1856.6</v>
      </c>
      <c r="G162" s="160">
        <v>372.6</v>
      </c>
      <c r="H162" s="161">
        <v>195</v>
      </c>
      <c r="I162" s="161">
        <v>293</v>
      </c>
      <c r="J162" s="161">
        <v>996</v>
      </c>
      <c r="K162" s="123">
        <f t="shared" si="24"/>
        <v>372.6</v>
      </c>
      <c r="L162" s="124">
        <f t="shared" si="21"/>
        <v>97.5</v>
      </c>
      <c r="M162" s="124">
        <f t="shared" si="21"/>
        <v>146.5</v>
      </c>
      <c r="N162" s="124">
        <f t="shared" si="21"/>
        <v>498</v>
      </c>
      <c r="O162" s="124">
        <f t="shared" si="22"/>
        <v>1114.5999999999999</v>
      </c>
      <c r="P162" s="124">
        <f t="shared" si="23"/>
        <v>97.5</v>
      </c>
      <c r="Q162" s="124">
        <f t="shared" si="23"/>
        <v>146.5</v>
      </c>
      <c r="R162" s="124">
        <f t="shared" si="23"/>
        <v>498</v>
      </c>
      <c r="S162" s="118">
        <f t="shared" si="25"/>
        <v>742</v>
      </c>
      <c r="T162" s="160">
        <v>200</v>
      </c>
      <c r="U162" s="160"/>
      <c r="V162" s="161">
        <v>200</v>
      </c>
      <c r="W162" s="160">
        <f>13+8073</f>
        <v>8086</v>
      </c>
      <c r="X162" s="160"/>
      <c r="Y162" s="160">
        <f>8086-E162</f>
        <v>7983.4</v>
      </c>
      <c r="Z162" s="161">
        <v>0</v>
      </c>
      <c r="AA162" s="123">
        <v>14</v>
      </c>
      <c r="AB162" s="125">
        <v>10040</v>
      </c>
      <c r="AC162" s="117"/>
      <c r="AD162" s="118">
        <f t="shared" si="19"/>
        <v>1114.5999999999999</v>
      </c>
      <c r="AE162" s="118"/>
      <c r="AF162" s="118" t="e">
        <f>#REF!-AE162</f>
        <v>#REF!</v>
      </c>
      <c r="AG162" s="118">
        <v>90</v>
      </c>
      <c r="AH162" s="118" t="e">
        <f>#REF!-AG162</f>
        <v>#REF!</v>
      </c>
      <c r="AI162" s="118">
        <v>14</v>
      </c>
      <c r="AJ162" s="119"/>
      <c r="AK162" s="120">
        <f t="shared" si="20"/>
        <v>10142.6</v>
      </c>
    </row>
    <row r="163" spans="1:37" s="109" customFormat="1" ht="13.5" x14ac:dyDescent="0.25">
      <c r="A163" s="121">
        <v>65</v>
      </c>
      <c r="B163" s="122" t="s">
        <v>141</v>
      </c>
      <c r="C163" s="122">
        <v>7</v>
      </c>
      <c r="D163" s="122">
        <v>2</v>
      </c>
      <c r="E163" s="160">
        <f>60.5</f>
        <v>60.5</v>
      </c>
      <c r="F163" s="160">
        <f>1221+E163</f>
        <v>1281.5</v>
      </c>
      <c r="G163" s="160">
        <f>374+E163</f>
        <v>434.5</v>
      </c>
      <c r="H163" s="161">
        <v>71</v>
      </c>
      <c r="I163" s="161">
        <v>522</v>
      </c>
      <c r="J163" s="161">
        <v>254</v>
      </c>
      <c r="K163" s="123">
        <f t="shared" si="24"/>
        <v>434.5</v>
      </c>
      <c r="L163" s="124">
        <f t="shared" si="21"/>
        <v>35.5</v>
      </c>
      <c r="M163" s="124">
        <f t="shared" si="21"/>
        <v>261</v>
      </c>
      <c r="N163" s="124">
        <f t="shared" si="21"/>
        <v>127</v>
      </c>
      <c r="O163" s="124">
        <f t="shared" si="22"/>
        <v>858</v>
      </c>
      <c r="P163" s="124">
        <f t="shared" si="23"/>
        <v>35.5</v>
      </c>
      <c r="Q163" s="124">
        <f t="shared" si="23"/>
        <v>261</v>
      </c>
      <c r="R163" s="124">
        <f t="shared" si="23"/>
        <v>127</v>
      </c>
      <c r="S163" s="118">
        <f t="shared" si="25"/>
        <v>423.5</v>
      </c>
      <c r="T163" s="160">
        <f>100</f>
        <v>100</v>
      </c>
      <c r="U163" s="160"/>
      <c r="V163" s="161">
        <v>100</v>
      </c>
      <c r="W163" s="160">
        <v>5600</v>
      </c>
      <c r="X163" s="160"/>
      <c r="Y163" s="160">
        <f>5600-E163</f>
        <v>5539.5</v>
      </c>
      <c r="Z163" s="161">
        <v>0</v>
      </c>
      <c r="AA163" s="123"/>
      <c r="AB163" s="125">
        <v>6921</v>
      </c>
      <c r="AC163" s="117"/>
      <c r="AD163" s="118">
        <f t="shared" ref="AD163:AD183" si="26">O163-AC163</f>
        <v>858</v>
      </c>
      <c r="AE163" s="118"/>
      <c r="AF163" s="118" t="e">
        <f>#REF!-AE163</f>
        <v>#REF!</v>
      </c>
      <c r="AG163" s="118"/>
      <c r="AH163" s="118" t="e">
        <f>#REF!-AG163</f>
        <v>#REF!</v>
      </c>
      <c r="AI163" s="118"/>
      <c r="AJ163" s="119"/>
      <c r="AK163" s="120">
        <f t="shared" ref="AK163:AK191" si="27">O163+S163+T163+W163</f>
        <v>6981.5</v>
      </c>
    </row>
    <row r="164" spans="1:37" s="109" customFormat="1" ht="13.5" x14ac:dyDescent="0.25">
      <c r="A164" s="121">
        <v>66</v>
      </c>
      <c r="B164" s="122" t="s">
        <v>141</v>
      </c>
      <c r="C164" s="122">
        <v>8</v>
      </c>
      <c r="D164" s="122"/>
      <c r="E164" s="160">
        <f>641</f>
        <v>641</v>
      </c>
      <c r="F164" s="160">
        <f>2596+E164</f>
        <v>3237</v>
      </c>
      <c r="G164" s="160">
        <v>1277</v>
      </c>
      <c r="H164" s="161">
        <v>180</v>
      </c>
      <c r="I164" s="161"/>
      <c r="J164" s="161">
        <f>2239-459</f>
        <v>1780</v>
      </c>
      <c r="K164" s="123">
        <f t="shared" si="24"/>
        <v>1277</v>
      </c>
      <c r="L164" s="124">
        <f t="shared" si="21"/>
        <v>90</v>
      </c>
      <c r="M164" s="124">
        <f t="shared" si="21"/>
        <v>0</v>
      </c>
      <c r="N164" s="124">
        <f t="shared" si="21"/>
        <v>890</v>
      </c>
      <c r="O164" s="124">
        <f t="shared" si="22"/>
        <v>2257</v>
      </c>
      <c r="P164" s="124">
        <f t="shared" si="23"/>
        <v>90</v>
      </c>
      <c r="Q164" s="124">
        <f t="shared" si="23"/>
        <v>0</v>
      </c>
      <c r="R164" s="124">
        <f t="shared" si="23"/>
        <v>890</v>
      </c>
      <c r="S164" s="118">
        <f t="shared" si="25"/>
        <v>980</v>
      </c>
      <c r="T164" s="160">
        <v>249</v>
      </c>
      <c r="U164" s="160"/>
      <c r="V164" s="161">
        <v>249</v>
      </c>
      <c r="W164" s="160">
        <v>11975</v>
      </c>
      <c r="X164" s="160"/>
      <c r="Y164" s="160">
        <f>11975-E164</f>
        <v>11334</v>
      </c>
      <c r="Z164" s="161">
        <v>0</v>
      </c>
      <c r="AA164" s="123">
        <v>14</v>
      </c>
      <c r="AB164" s="125">
        <v>14820</v>
      </c>
      <c r="AC164" s="117"/>
      <c r="AD164" s="118">
        <f t="shared" si="26"/>
        <v>2257</v>
      </c>
      <c r="AE164" s="118"/>
      <c r="AF164" s="118" t="e">
        <f>#REF!-AE164</f>
        <v>#REF!</v>
      </c>
      <c r="AG164" s="118">
        <v>66</v>
      </c>
      <c r="AH164" s="118" t="e">
        <f>#REF!-AG164</f>
        <v>#REF!</v>
      </c>
      <c r="AI164" s="118">
        <v>14</v>
      </c>
      <c r="AJ164" s="119"/>
      <c r="AK164" s="120">
        <f t="shared" si="27"/>
        <v>15461</v>
      </c>
    </row>
    <row r="165" spans="1:37" s="109" customFormat="1" ht="13.5" x14ac:dyDescent="0.25">
      <c r="A165" s="121">
        <v>67</v>
      </c>
      <c r="B165" s="122" t="s">
        <v>141</v>
      </c>
      <c r="C165" s="122">
        <v>9</v>
      </c>
      <c r="D165" s="122">
        <v>1</v>
      </c>
      <c r="E165" s="160">
        <f>511</f>
        <v>511</v>
      </c>
      <c r="F165" s="160">
        <f>1128+E165</f>
        <v>1639</v>
      </c>
      <c r="G165" s="160">
        <v>607</v>
      </c>
      <c r="H165" s="161">
        <v>124</v>
      </c>
      <c r="I165" s="161">
        <v>908</v>
      </c>
      <c r="J165" s="161"/>
      <c r="K165" s="123">
        <f t="shared" si="24"/>
        <v>607</v>
      </c>
      <c r="L165" s="124">
        <f t="shared" si="21"/>
        <v>62</v>
      </c>
      <c r="M165" s="124">
        <f t="shared" si="21"/>
        <v>454</v>
      </c>
      <c r="N165" s="124">
        <f t="shared" si="21"/>
        <v>0</v>
      </c>
      <c r="O165" s="124">
        <f t="shared" si="22"/>
        <v>1123</v>
      </c>
      <c r="P165" s="124">
        <f t="shared" si="23"/>
        <v>62</v>
      </c>
      <c r="Q165" s="124">
        <f t="shared" si="23"/>
        <v>454</v>
      </c>
      <c r="R165" s="124">
        <f t="shared" si="23"/>
        <v>0</v>
      </c>
      <c r="S165" s="118">
        <f t="shared" si="25"/>
        <v>516</v>
      </c>
      <c r="T165" s="160"/>
      <c r="U165" s="160"/>
      <c r="V165" s="161">
        <v>0</v>
      </c>
      <c r="W165" s="160">
        <v>2859</v>
      </c>
      <c r="X165" s="160"/>
      <c r="Y165" s="160">
        <f>2859-E165</f>
        <v>2348</v>
      </c>
      <c r="Z165" s="161">
        <v>0</v>
      </c>
      <c r="AA165" s="123">
        <v>7</v>
      </c>
      <c r="AB165" s="125">
        <v>3987</v>
      </c>
      <c r="AC165" s="117"/>
      <c r="AD165" s="118">
        <f t="shared" si="26"/>
        <v>1123</v>
      </c>
      <c r="AE165" s="118"/>
      <c r="AF165" s="118" t="e">
        <f>#REF!-AE165</f>
        <v>#REF!</v>
      </c>
      <c r="AG165" s="118">
        <v>162</v>
      </c>
      <c r="AH165" s="118" t="e">
        <f>#REF!-AG165</f>
        <v>#REF!</v>
      </c>
      <c r="AI165" s="118">
        <v>7</v>
      </c>
      <c r="AJ165" s="119"/>
      <c r="AK165" s="120">
        <f t="shared" si="27"/>
        <v>4498</v>
      </c>
    </row>
    <row r="166" spans="1:37" s="109" customFormat="1" ht="13.5" x14ac:dyDescent="0.25">
      <c r="A166" s="121">
        <v>68</v>
      </c>
      <c r="B166" s="122" t="s">
        <v>141</v>
      </c>
      <c r="C166" s="122">
        <v>9</v>
      </c>
      <c r="D166" s="122">
        <v>2</v>
      </c>
      <c r="E166" s="160">
        <f>513.6</f>
        <v>513.6</v>
      </c>
      <c r="F166" s="160">
        <f>1517+E166</f>
        <v>2030.6</v>
      </c>
      <c r="G166" s="160">
        <f>204+E166</f>
        <v>717.6</v>
      </c>
      <c r="H166" s="161">
        <v>43</v>
      </c>
      <c r="I166" s="161">
        <f>1389-119</f>
        <v>1270</v>
      </c>
      <c r="J166" s="161"/>
      <c r="K166" s="123">
        <f t="shared" si="24"/>
        <v>717.6</v>
      </c>
      <c r="L166" s="124">
        <f t="shared" si="21"/>
        <v>21.5</v>
      </c>
      <c r="M166" s="124">
        <f t="shared" si="21"/>
        <v>635</v>
      </c>
      <c r="N166" s="124">
        <f t="shared" si="21"/>
        <v>0</v>
      </c>
      <c r="O166" s="124">
        <f t="shared" si="22"/>
        <v>1374.1</v>
      </c>
      <c r="P166" s="124">
        <f t="shared" si="23"/>
        <v>21.5</v>
      </c>
      <c r="Q166" s="124">
        <f t="shared" si="23"/>
        <v>635</v>
      </c>
      <c r="R166" s="124">
        <f t="shared" si="23"/>
        <v>0</v>
      </c>
      <c r="S166" s="118">
        <f t="shared" si="25"/>
        <v>656.5</v>
      </c>
      <c r="T166" s="160">
        <v>18</v>
      </c>
      <c r="U166" s="160"/>
      <c r="V166" s="161">
        <v>18</v>
      </c>
      <c r="W166" s="160">
        <v>4875</v>
      </c>
      <c r="X166" s="160"/>
      <c r="Y166" s="160">
        <f>4875-E166</f>
        <v>4361.3999999999996</v>
      </c>
      <c r="Z166" s="161">
        <v>0</v>
      </c>
      <c r="AA166" s="123"/>
      <c r="AB166" s="125">
        <v>6410</v>
      </c>
      <c r="AC166" s="117"/>
      <c r="AD166" s="118">
        <f t="shared" si="26"/>
        <v>1374.1</v>
      </c>
      <c r="AE166" s="118"/>
      <c r="AF166" s="118" t="e">
        <f>#REF!-AE166</f>
        <v>#REF!</v>
      </c>
      <c r="AG166" s="118">
        <v>78</v>
      </c>
      <c r="AH166" s="118" t="e">
        <f>#REF!-AG166</f>
        <v>#REF!</v>
      </c>
      <c r="AI166" s="118"/>
      <c r="AJ166" s="119"/>
      <c r="AK166" s="120">
        <f t="shared" si="27"/>
        <v>6923.6</v>
      </c>
    </row>
    <row r="167" spans="1:37" s="109" customFormat="1" ht="13.5" x14ac:dyDescent="0.25">
      <c r="A167" s="121">
        <v>69</v>
      </c>
      <c r="B167" s="122" t="s">
        <v>141</v>
      </c>
      <c r="C167" s="122">
        <v>9</v>
      </c>
      <c r="D167" s="122">
        <v>3</v>
      </c>
      <c r="E167" s="160">
        <f>266.83</f>
        <v>266.83</v>
      </c>
      <c r="F167" s="160">
        <f>1402+E167</f>
        <v>1668.83</v>
      </c>
      <c r="G167" s="160">
        <f>192+103+E167</f>
        <v>561.82999999999993</v>
      </c>
      <c r="H167" s="161">
        <v>222</v>
      </c>
      <c r="I167" s="161">
        <v>387</v>
      </c>
      <c r="J167" s="161">
        <v>498</v>
      </c>
      <c r="K167" s="123">
        <f t="shared" si="24"/>
        <v>561.82999999999993</v>
      </c>
      <c r="L167" s="124">
        <f t="shared" si="21"/>
        <v>111</v>
      </c>
      <c r="M167" s="124">
        <f t="shared" si="21"/>
        <v>193.5</v>
      </c>
      <c r="N167" s="124">
        <f t="shared" si="21"/>
        <v>249</v>
      </c>
      <c r="O167" s="124">
        <f t="shared" si="22"/>
        <v>1115.33</v>
      </c>
      <c r="P167" s="124">
        <f t="shared" si="23"/>
        <v>111</v>
      </c>
      <c r="Q167" s="124">
        <f t="shared" si="23"/>
        <v>193.5</v>
      </c>
      <c r="R167" s="124">
        <f t="shared" si="23"/>
        <v>249</v>
      </c>
      <c r="S167" s="118">
        <f t="shared" si="25"/>
        <v>553.5</v>
      </c>
      <c r="T167" s="160">
        <f>373+50</f>
        <v>423</v>
      </c>
      <c r="U167" s="160"/>
      <c r="V167" s="161">
        <v>423</v>
      </c>
      <c r="W167" s="160">
        <v>5790</v>
      </c>
      <c r="X167" s="160"/>
      <c r="Y167" s="160">
        <f>5790-E167</f>
        <v>5523.17</v>
      </c>
      <c r="Z167" s="161">
        <v>0</v>
      </c>
      <c r="AA167" s="123"/>
      <c r="AB167" s="125">
        <v>7615</v>
      </c>
      <c r="AC167" s="117"/>
      <c r="AD167" s="118">
        <f t="shared" si="26"/>
        <v>1115.33</v>
      </c>
      <c r="AE167" s="118"/>
      <c r="AF167" s="118" t="e">
        <f>#REF!-AE167</f>
        <v>#REF!</v>
      </c>
      <c r="AG167" s="118">
        <v>6</v>
      </c>
      <c r="AH167" s="118" t="e">
        <f>#REF!-AG167</f>
        <v>#REF!</v>
      </c>
      <c r="AI167" s="118"/>
      <c r="AJ167" s="119"/>
      <c r="AK167" s="120">
        <f t="shared" si="27"/>
        <v>7881.83</v>
      </c>
    </row>
    <row r="168" spans="1:37" s="109" customFormat="1" ht="13.5" x14ac:dyDescent="0.25">
      <c r="A168" s="121">
        <v>70</v>
      </c>
      <c r="B168" s="122" t="s">
        <v>141</v>
      </c>
      <c r="C168" s="122">
        <v>11</v>
      </c>
      <c r="D168" s="122"/>
      <c r="E168" s="160">
        <v>85</v>
      </c>
      <c r="F168" s="160">
        <f>2967+E168</f>
        <v>3052</v>
      </c>
      <c r="G168" s="160">
        <v>860</v>
      </c>
      <c r="H168" s="161">
        <v>128</v>
      </c>
      <c r="I168" s="161"/>
      <c r="J168" s="161">
        <f>2661-137-597+137</f>
        <v>2064</v>
      </c>
      <c r="K168" s="123">
        <f t="shared" si="24"/>
        <v>860</v>
      </c>
      <c r="L168" s="124">
        <f t="shared" si="21"/>
        <v>64</v>
      </c>
      <c r="M168" s="124">
        <f t="shared" si="21"/>
        <v>0</v>
      </c>
      <c r="N168" s="124">
        <f t="shared" si="21"/>
        <v>1032</v>
      </c>
      <c r="O168" s="124">
        <f t="shared" si="22"/>
        <v>1956</v>
      </c>
      <c r="P168" s="124">
        <f t="shared" si="23"/>
        <v>64</v>
      </c>
      <c r="Q168" s="124">
        <f t="shared" si="23"/>
        <v>0</v>
      </c>
      <c r="R168" s="124">
        <f t="shared" si="23"/>
        <v>1032</v>
      </c>
      <c r="S168" s="118">
        <f t="shared" si="25"/>
        <v>1096</v>
      </c>
      <c r="T168" s="160">
        <f>246+449</f>
        <v>695</v>
      </c>
      <c r="U168" s="160"/>
      <c r="V168" s="161">
        <v>695</v>
      </c>
      <c r="W168" s="160">
        <f>676+12837</f>
        <v>13513</v>
      </c>
      <c r="X168" s="160"/>
      <c r="Y168" s="160">
        <f>13513-E168</f>
        <v>13428</v>
      </c>
      <c r="Z168" s="161">
        <v>0</v>
      </c>
      <c r="AA168" s="123">
        <v>14</v>
      </c>
      <c r="AB168" s="125">
        <v>17175</v>
      </c>
      <c r="AC168" s="117"/>
      <c r="AD168" s="118">
        <f t="shared" si="26"/>
        <v>1956</v>
      </c>
      <c r="AE168" s="118"/>
      <c r="AF168" s="118" t="e">
        <f>#REF!-AE168</f>
        <v>#REF!</v>
      </c>
      <c r="AG168" s="118"/>
      <c r="AH168" s="118" t="e">
        <f>#REF!-AG168</f>
        <v>#REF!</v>
      </c>
      <c r="AI168" s="118">
        <v>14</v>
      </c>
      <c r="AJ168" s="119"/>
      <c r="AK168" s="120">
        <f t="shared" si="27"/>
        <v>17260</v>
      </c>
    </row>
    <row r="169" spans="1:37" s="109" customFormat="1" ht="13.5" x14ac:dyDescent="0.25">
      <c r="A169" s="121">
        <v>71</v>
      </c>
      <c r="B169" s="122" t="s">
        <v>141</v>
      </c>
      <c r="C169" s="122">
        <v>12</v>
      </c>
      <c r="D169" s="122"/>
      <c r="E169" s="160"/>
      <c r="F169" s="160">
        <v>896</v>
      </c>
      <c r="G169" s="160">
        <f>57+80</f>
        <v>137</v>
      </c>
      <c r="H169" s="161">
        <v>68</v>
      </c>
      <c r="I169" s="161">
        <f>513-80</f>
        <v>433</v>
      </c>
      <c r="J169" s="161">
        <v>258</v>
      </c>
      <c r="K169" s="123">
        <f t="shared" si="24"/>
        <v>137</v>
      </c>
      <c r="L169" s="124">
        <f t="shared" si="21"/>
        <v>34</v>
      </c>
      <c r="M169" s="124">
        <f t="shared" si="21"/>
        <v>216.5</v>
      </c>
      <c r="N169" s="124">
        <f t="shared" si="21"/>
        <v>129</v>
      </c>
      <c r="O169" s="124">
        <f t="shared" si="22"/>
        <v>516.5</v>
      </c>
      <c r="P169" s="124">
        <f t="shared" si="23"/>
        <v>34</v>
      </c>
      <c r="Q169" s="124">
        <f t="shared" si="23"/>
        <v>216.5</v>
      </c>
      <c r="R169" s="124">
        <f t="shared" si="23"/>
        <v>129</v>
      </c>
      <c r="S169" s="118">
        <f t="shared" si="25"/>
        <v>379.5</v>
      </c>
      <c r="T169" s="160"/>
      <c r="U169" s="160"/>
      <c r="V169" s="161">
        <v>0</v>
      </c>
      <c r="W169" s="160">
        <v>3276</v>
      </c>
      <c r="X169" s="160"/>
      <c r="Y169" s="160">
        <v>3276</v>
      </c>
      <c r="Z169" s="161">
        <v>0</v>
      </c>
      <c r="AA169" s="123">
        <v>7</v>
      </c>
      <c r="AB169" s="125">
        <v>4172</v>
      </c>
      <c r="AC169" s="117"/>
      <c r="AD169" s="118">
        <f t="shared" si="26"/>
        <v>516.5</v>
      </c>
      <c r="AE169" s="118"/>
      <c r="AF169" s="118" t="e">
        <f>#REF!-AE169</f>
        <v>#REF!</v>
      </c>
      <c r="AG169" s="118">
        <v>66</v>
      </c>
      <c r="AH169" s="118" t="e">
        <f>#REF!-AG169</f>
        <v>#REF!</v>
      </c>
      <c r="AI169" s="118">
        <v>7</v>
      </c>
      <c r="AJ169" s="119"/>
      <c r="AK169" s="120">
        <f t="shared" si="27"/>
        <v>4172</v>
      </c>
    </row>
    <row r="170" spans="1:37" s="109" customFormat="1" ht="13.5" x14ac:dyDescent="0.25">
      <c r="A170" s="121">
        <v>72</v>
      </c>
      <c r="B170" s="122" t="s">
        <v>141</v>
      </c>
      <c r="C170" s="122">
        <v>13</v>
      </c>
      <c r="D170" s="122"/>
      <c r="E170" s="160">
        <f>372.06</f>
        <v>372.06</v>
      </c>
      <c r="F170" s="160">
        <f>3138+E170</f>
        <v>3510.06</v>
      </c>
      <c r="G170" s="160">
        <v>441.06</v>
      </c>
      <c r="H170" s="161">
        <v>1103</v>
      </c>
      <c r="I170" s="161">
        <v>1886</v>
      </c>
      <c r="J170" s="161">
        <v>80</v>
      </c>
      <c r="K170" s="123">
        <f t="shared" si="24"/>
        <v>441.06</v>
      </c>
      <c r="L170" s="124">
        <f t="shared" si="21"/>
        <v>551.5</v>
      </c>
      <c r="M170" s="124">
        <f t="shared" si="21"/>
        <v>943</v>
      </c>
      <c r="N170" s="124">
        <f t="shared" si="21"/>
        <v>40</v>
      </c>
      <c r="O170" s="124">
        <f t="shared" si="22"/>
        <v>1975.56</v>
      </c>
      <c r="P170" s="124">
        <f t="shared" si="23"/>
        <v>551.5</v>
      </c>
      <c r="Q170" s="124">
        <f t="shared" si="23"/>
        <v>943</v>
      </c>
      <c r="R170" s="124">
        <f t="shared" si="23"/>
        <v>40</v>
      </c>
      <c r="S170" s="118">
        <f t="shared" si="25"/>
        <v>1534.5</v>
      </c>
      <c r="T170" s="160"/>
      <c r="U170" s="160"/>
      <c r="V170" s="161">
        <v>0</v>
      </c>
      <c r="W170" s="160">
        <v>7543</v>
      </c>
      <c r="X170" s="160"/>
      <c r="Y170" s="160">
        <f>7543-E170</f>
        <v>7170.94</v>
      </c>
      <c r="Z170" s="161">
        <v>59</v>
      </c>
      <c r="AA170" s="123">
        <v>14</v>
      </c>
      <c r="AB170" s="125">
        <v>10740</v>
      </c>
      <c r="AC170" s="117">
        <v>12</v>
      </c>
      <c r="AD170" s="118">
        <f t="shared" si="26"/>
        <v>1963.56</v>
      </c>
      <c r="AE170" s="118"/>
      <c r="AF170" s="118" t="e">
        <f>#REF!-AE170</f>
        <v>#REF!</v>
      </c>
      <c r="AG170" s="118">
        <v>78</v>
      </c>
      <c r="AH170" s="118" t="e">
        <f>#REF!-AG170</f>
        <v>#REF!</v>
      </c>
      <c r="AI170" s="118">
        <v>14</v>
      </c>
      <c r="AJ170" s="119"/>
      <c r="AK170" s="120">
        <f t="shared" si="27"/>
        <v>11053.06</v>
      </c>
    </row>
    <row r="171" spans="1:37" s="109" customFormat="1" ht="13.5" x14ac:dyDescent="0.25">
      <c r="A171" s="121">
        <v>73</v>
      </c>
      <c r="B171" s="122" t="s">
        <v>141</v>
      </c>
      <c r="C171" s="122">
        <v>15</v>
      </c>
      <c r="D171" s="122"/>
      <c r="E171" s="160"/>
      <c r="F171" s="160">
        <v>1624</v>
      </c>
      <c r="G171" s="160">
        <f>69</f>
        <v>69</v>
      </c>
      <c r="H171" s="161">
        <v>90</v>
      </c>
      <c r="I171" s="161">
        <v>1028</v>
      </c>
      <c r="J171" s="161">
        <v>437</v>
      </c>
      <c r="K171" s="123">
        <f t="shared" si="24"/>
        <v>69</v>
      </c>
      <c r="L171" s="124">
        <f t="shared" si="21"/>
        <v>45</v>
      </c>
      <c r="M171" s="124">
        <f t="shared" si="21"/>
        <v>514</v>
      </c>
      <c r="N171" s="124">
        <f t="shared" si="21"/>
        <v>218.5</v>
      </c>
      <c r="O171" s="124">
        <f t="shared" si="22"/>
        <v>846.5</v>
      </c>
      <c r="P171" s="124">
        <f t="shared" si="23"/>
        <v>45</v>
      </c>
      <c r="Q171" s="124">
        <f t="shared" si="23"/>
        <v>514</v>
      </c>
      <c r="R171" s="124">
        <f t="shared" si="23"/>
        <v>218.5</v>
      </c>
      <c r="S171" s="118">
        <f t="shared" si="25"/>
        <v>777.5</v>
      </c>
      <c r="T171" s="160"/>
      <c r="U171" s="160"/>
      <c r="V171" s="161">
        <v>0</v>
      </c>
      <c r="W171" s="160">
        <v>1194</v>
      </c>
      <c r="X171" s="160"/>
      <c r="Y171" s="160">
        <v>1194</v>
      </c>
      <c r="Z171" s="161">
        <v>3027</v>
      </c>
      <c r="AA171" s="123"/>
      <c r="AB171" s="125">
        <v>5845</v>
      </c>
      <c r="AC171" s="117">
        <v>6</v>
      </c>
      <c r="AD171" s="118">
        <f t="shared" si="26"/>
        <v>840.5</v>
      </c>
      <c r="AE171" s="118"/>
      <c r="AF171" s="118" t="e">
        <f>#REF!-AE171</f>
        <v>#REF!</v>
      </c>
      <c r="AG171" s="118"/>
      <c r="AH171" s="118" t="e">
        <f>#REF!-AG171</f>
        <v>#REF!</v>
      </c>
      <c r="AI171" s="118"/>
      <c r="AJ171" s="119"/>
      <c r="AK171" s="120">
        <f t="shared" si="27"/>
        <v>2818</v>
      </c>
    </row>
    <row r="172" spans="1:37" s="109" customFormat="1" ht="13.5" x14ac:dyDescent="0.25">
      <c r="A172" s="121">
        <v>74</v>
      </c>
      <c r="B172" s="122" t="s">
        <v>141</v>
      </c>
      <c r="C172" s="122">
        <v>17</v>
      </c>
      <c r="D172" s="122"/>
      <c r="E172" s="160">
        <f>167.5</f>
        <v>167.5</v>
      </c>
      <c r="F172" s="160">
        <f>4988+E172</f>
        <v>5155.5</v>
      </c>
      <c r="G172" s="160">
        <v>789.5</v>
      </c>
      <c r="H172" s="161">
        <v>541</v>
      </c>
      <c r="I172" s="161">
        <f>1881-378</f>
        <v>1503</v>
      </c>
      <c r="J172" s="161">
        <v>2322</v>
      </c>
      <c r="K172" s="123">
        <f t="shared" si="24"/>
        <v>789.5</v>
      </c>
      <c r="L172" s="124">
        <f t="shared" si="21"/>
        <v>270.5</v>
      </c>
      <c r="M172" s="124">
        <f t="shared" si="21"/>
        <v>751.5</v>
      </c>
      <c r="N172" s="124">
        <f t="shared" si="21"/>
        <v>1161</v>
      </c>
      <c r="O172" s="124">
        <f t="shared" si="22"/>
        <v>2972.5</v>
      </c>
      <c r="P172" s="124">
        <f t="shared" si="23"/>
        <v>270.5</v>
      </c>
      <c r="Q172" s="124">
        <f t="shared" si="23"/>
        <v>751.5</v>
      </c>
      <c r="R172" s="124">
        <f t="shared" si="23"/>
        <v>1161</v>
      </c>
      <c r="S172" s="118">
        <f t="shared" si="25"/>
        <v>2183</v>
      </c>
      <c r="T172" s="160">
        <f>223+315</f>
        <v>538</v>
      </c>
      <c r="U172" s="160"/>
      <c r="V172" s="161">
        <v>538</v>
      </c>
      <c r="W172" s="160">
        <v>13844</v>
      </c>
      <c r="X172" s="160"/>
      <c r="Y172" s="160">
        <f>13844-E172</f>
        <v>13676.5</v>
      </c>
      <c r="Z172" s="161">
        <v>0</v>
      </c>
      <c r="AA172" s="123">
        <v>17.5</v>
      </c>
      <c r="AB172" s="125">
        <v>19370</v>
      </c>
      <c r="AC172" s="178">
        <v>24</v>
      </c>
      <c r="AD172" s="118">
        <f t="shared" si="26"/>
        <v>2948.5</v>
      </c>
      <c r="AE172" s="118"/>
      <c r="AF172" s="118" t="e">
        <f>#REF!-AE172</f>
        <v>#REF!</v>
      </c>
      <c r="AG172" s="118"/>
      <c r="AH172" s="118" t="e">
        <f>#REF!-AG172</f>
        <v>#REF!</v>
      </c>
      <c r="AI172" s="118">
        <v>18</v>
      </c>
      <c r="AJ172" s="119"/>
      <c r="AK172" s="120">
        <f t="shared" si="27"/>
        <v>19537.5</v>
      </c>
    </row>
    <row r="173" spans="1:37" s="109" customFormat="1" ht="13.5" x14ac:dyDescent="0.25">
      <c r="A173" s="121">
        <v>75</v>
      </c>
      <c r="B173" s="122" t="s">
        <v>141</v>
      </c>
      <c r="C173" s="122">
        <v>19</v>
      </c>
      <c r="D173" s="122">
        <v>1</v>
      </c>
      <c r="E173" s="160">
        <f>65.5</f>
        <v>65.5</v>
      </c>
      <c r="F173" s="160">
        <f>797+E173</f>
        <v>862.5</v>
      </c>
      <c r="G173" s="160">
        <v>321.5</v>
      </c>
      <c r="H173" s="161">
        <v>53</v>
      </c>
      <c r="I173" s="161"/>
      <c r="J173" s="161">
        <v>488</v>
      </c>
      <c r="K173" s="123">
        <f t="shared" si="24"/>
        <v>321.5</v>
      </c>
      <c r="L173" s="124">
        <f t="shared" si="21"/>
        <v>26.5</v>
      </c>
      <c r="M173" s="124">
        <f t="shared" si="21"/>
        <v>0</v>
      </c>
      <c r="N173" s="124">
        <f t="shared" si="21"/>
        <v>244</v>
      </c>
      <c r="O173" s="124">
        <f t="shared" si="22"/>
        <v>592</v>
      </c>
      <c r="P173" s="124">
        <f t="shared" si="23"/>
        <v>26.5</v>
      </c>
      <c r="Q173" s="124">
        <f t="shared" si="23"/>
        <v>0</v>
      </c>
      <c r="R173" s="124">
        <f t="shared" si="23"/>
        <v>244</v>
      </c>
      <c r="S173" s="118">
        <f t="shared" si="25"/>
        <v>270.5</v>
      </c>
      <c r="T173" s="160">
        <v>174</v>
      </c>
      <c r="U173" s="160"/>
      <c r="V173" s="161">
        <v>174</v>
      </c>
      <c r="W173" s="160">
        <v>5070</v>
      </c>
      <c r="X173" s="160"/>
      <c r="Y173" s="160">
        <f>5070-E173</f>
        <v>5004.5</v>
      </c>
      <c r="Z173" s="161">
        <v>0</v>
      </c>
      <c r="AA173" s="123"/>
      <c r="AB173" s="125">
        <v>6041</v>
      </c>
      <c r="AC173" s="117"/>
      <c r="AD173" s="118">
        <f t="shared" si="26"/>
        <v>592</v>
      </c>
      <c r="AE173" s="118"/>
      <c r="AF173" s="118" t="e">
        <f>#REF!-AE173</f>
        <v>#REF!</v>
      </c>
      <c r="AG173" s="118"/>
      <c r="AH173" s="118" t="e">
        <f>#REF!-AG173</f>
        <v>#REF!</v>
      </c>
      <c r="AI173" s="118"/>
      <c r="AJ173" s="119"/>
      <c r="AK173" s="120">
        <f t="shared" si="27"/>
        <v>6106.5</v>
      </c>
    </row>
    <row r="174" spans="1:37" s="109" customFormat="1" ht="13.5" x14ac:dyDescent="0.25">
      <c r="A174" s="121">
        <v>76</v>
      </c>
      <c r="B174" s="122" t="s">
        <v>141</v>
      </c>
      <c r="C174" s="122">
        <v>19</v>
      </c>
      <c r="D174" s="122">
        <v>2</v>
      </c>
      <c r="E174" s="160"/>
      <c r="F174" s="160">
        <v>953</v>
      </c>
      <c r="G174" s="160">
        <f>166+165</f>
        <v>331</v>
      </c>
      <c r="H174" s="161">
        <v>102</v>
      </c>
      <c r="I174" s="161">
        <v>431</v>
      </c>
      <c r="J174" s="161">
        <v>89</v>
      </c>
      <c r="K174" s="123">
        <f t="shared" si="24"/>
        <v>331</v>
      </c>
      <c r="L174" s="124">
        <f t="shared" si="21"/>
        <v>51</v>
      </c>
      <c r="M174" s="124">
        <f t="shared" si="21"/>
        <v>215.5</v>
      </c>
      <c r="N174" s="124">
        <f t="shared" si="21"/>
        <v>44.5</v>
      </c>
      <c r="O174" s="124">
        <f t="shared" si="22"/>
        <v>642</v>
      </c>
      <c r="P174" s="124">
        <f t="shared" si="23"/>
        <v>51</v>
      </c>
      <c r="Q174" s="124">
        <f t="shared" si="23"/>
        <v>215.5</v>
      </c>
      <c r="R174" s="124">
        <f t="shared" si="23"/>
        <v>44.5</v>
      </c>
      <c r="S174" s="118">
        <f t="shared" si="25"/>
        <v>311</v>
      </c>
      <c r="T174" s="160">
        <v>139</v>
      </c>
      <c r="U174" s="160"/>
      <c r="V174" s="161">
        <v>139</v>
      </c>
      <c r="W174" s="160">
        <v>5242</v>
      </c>
      <c r="X174" s="160"/>
      <c r="Y174" s="160">
        <v>5242</v>
      </c>
      <c r="Z174" s="161">
        <v>0</v>
      </c>
      <c r="AA174" s="123"/>
      <c r="AB174" s="125">
        <v>6334</v>
      </c>
      <c r="AC174" s="117"/>
      <c r="AD174" s="118">
        <f t="shared" si="26"/>
        <v>642</v>
      </c>
      <c r="AE174" s="118"/>
      <c r="AF174" s="118" t="e">
        <f>#REF!-AE174</f>
        <v>#REF!</v>
      </c>
      <c r="AG174" s="118"/>
      <c r="AH174" s="118" t="e">
        <f>#REF!-AG174</f>
        <v>#REF!</v>
      </c>
      <c r="AI174" s="118"/>
      <c r="AJ174" s="119"/>
      <c r="AK174" s="120">
        <f t="shared" si="27"/>
        <v>6334</v>
      </c>
    </row>
    <row r="175" spans="1:37" s="109" customFormat="1" ht="13.5" x14ac:dyDescent="0.25">
      <c r="A175" s="121">
        <v>77</v>
      </c>
      <c r="B175" s="122" t="s">
        <v>141</v>
      </c>
      <c r="C175" s="122">
        <v>19</v>
      </c>
      <c r="D175" s="122">
        <v>3</v>
      </c>
      <c r="E175" s="160"/>
      <c r="F175" s="160">
        <v>1085</v>
      </c>
      <c r="G175" s="160">
        <f>166+148</f>
        <v>314</v>
      </c>
      <c r="H175" s="161">
        <v>117</v>
      </c>
      <c r="I175" s="161">
        <f>609-148</f>
        <v>461</v>
      </c>
      <c r="J175" s="161">
        <v>193</v>
      </c>
      <c r="K175" s="123">
        <f t="shared" si="24"/>
        <v>314</v>
      </c>
      <c r="L175" s="124">
        <f t="shared" si="21"/>
        <v>58.5</v>
      </c>
      <c r="M175" s="124">
        <f t="shared" si="21"/>
        <v>230.5</v>
      </c>
      <c r="N175" s="124">
        <f t="shared" si="21"/>
        <v>96.5</v>
      </c>
      <c r="O175" s="124">
        <f t="shared" si="22"/>
        <v>699.5</v>
      </c>
      <c r="P175" s="124">
        <f t="shared" si="23"/>
        <v>58.5</v>
      </c>
      <c r="Q175" s="124">
        <f t="shared" si="23"/>
        <v>230.5</v>
      </c>
      <c r="R175" s="124">
        <f t="shared" si="23"/>
        <v>96.5</v>
      </c>
      <c r="S175" s="118">
        <f t="shared" si="25"/>
        <v>385.5</v>
      </c>
      <c r="T175" s="160">
        <v>296</v>
      </c>
      <c r="U175" s="160"/>
      <c r="V175" s="161">
        <v>296</v>
      </c>
      <c r="W175" s="160">
        <v>4536</v>
      </c>
      <c r="X175" s="160"/>
      <c r="Y175" s="160">
        <v>4536</v>
      </c>
      <c r="Z175" s="161">
        <v>0</v>
      </c>
      <c r="AA175" s="123"/>
      <c r="AB175" s="125">
        <v>5917</v>
      </c>
      <c r="AC175" s="117"/>
      <c r="AD175" s="118">
        <f t="shared" si="26"/>
        <v>699.5</v>
      </c>
      <c r="AE175" s="118"/>
      <c r="AF175" s="118" t="e">
        <f>#REF!-AE175</f>
        <v>#REF!</v>
      </c>
      <c r="AG175" s="118"/>
      <c r="AH175" s="118" t="e">
        <f>#REF!-AG175</f>
        <v>#REF!</v>
      </c>
      <c r="AI175" s="118"/>
      <c r="AJ175" s="119"/>
      <c r="AK175" s="120">
        <f t="shared" si="27"/>
        <v>5917</v>
      </c>
    </row>
    <row r="176" spans="1:37" s="109" customFormat="1" ht="13.5" x14ac:dyDescent="0.25">
      <c r="A176" s="121">
        <v>78</v>
      </c>
      <c r="B176" s="122" t="s">
        <v>141</v>
      </c>
      <c r="C176" s="122">
        <v>21</v>
      </c>
      <c r="D176" s="122">
        <v>1</v>
      </c>
      <c r="E176" s="160">
        <f>135</f>
        <v>135</v>
      </c>
      <c r="F176" s="160">
        <f>1162+E176</f>
        <v>1297</v>
      </c>
      <c r="G176" s="160">
        <f>195+E176</f>
        <v>330</v>
      </c>
      <c r="H176" s="161">
        <v>39</v>
      </c>
      <c r="I176" s="161">
        <v>84</v>
      </c>
      <c r="J176" s="161">
        <v>844</v>
      </c>
      <c r="K176" s="123">
        <f t="shared" si="24"/>
        <v>330</v>
      </c>
      <c r="L176" s="124">
        <f t="shared" si="21"/>
        <v>19.5</v>
      </c>
      <c r="M176" s="124">
        <f t="shared" si="21"/>
        <v>42</v>
      </c>
      <c r="N176" s="124">
        <f t="shared" si="21"/>
        <v>422</v>
      </c>
      <c r="O176" s="124">
        <f t="shared" si="22"/>
        <v>813.5</v>
      </c>
      <c r="P176" s="124">
        <f t="shared" si="23"/>
        <v>19.5</v>
      </c>
      <c r="Q176" s="124">
        <f t="shared" si="23"/>
        <v>42</v>
      </c>
      <c r="R176" s="124">
        <f t="shared" si="23"/>
        <v>422</v>
      </c>
      <c r="S176" s="118">
        <f t="shared" si="25"/>
        <v>483.5</v>
      </c>
      <c r="T176" s="160"/>
      <c r="U176" s="160"/>
      <c r="V176" s="161">
        <v>0</v>
      </c>
      <c r="W176" s="160">
        <f>2411</f>
        <v>2411</v>
      </c>
      <c r="X176" s="160"/>
      <c r="Y176" s="160">
        <f>2411-E176</f>
        <v>2276</v>
      </c>
      <c r="Z176" s="161">
        <v>0</v>
      </c>
      <c r="AA176" s="123">
        <v>17.5</v>
      </c>
      <c r="AB176" s="125">
        <v>3573</v>
      </c>
      <c r="AC176" s="117"/>
      <c r="AD176" s="118">
        <f t="shared" si="26"/>
        <v>813.5</v>
      </c>
      <c r="AE176" s="118"/>
      <c r="AF176" s="118" t="e">
        <f>#REF!-AE176</f>
        <v>#REF!</v>
      </c>
      <c r="AG176" s="118"/>
      <c r="AH176" s="118" t="e">
        <f>#REF!-AG176</f>
        <v>#REF!</v>
      </c>
      <c r="AI176" s="118">
        <v>18</v>
      </c>
      <c r="AJ176" s="119"/>
      <c r="AK176" s="120">
        <f t="shared" si="27"/>
        <v>3708</v>
      </c>
    </row>
    <row r="177" spans="1:37" s="109" customFormat="1" ht="13.5" x14ac:dyDescent="0.25">
      <c r="A177" s="121">
        <v>79</v>
      </c>
      <c r="B177" s="122" t="s">
        <v>141</v>
      </c>
      <c r="C177" s="122">
        <v>21</v>
      </c>
      <c r="D177" s="122">
        <v>2</v>
      </c>
      <c r="E177" s="160"/>
      <c r="F177" s="160">
        <f>2499+E177</f>
        <v>2499</v>
      </c>
      <c r="G177" s="160">
        <v>384</v>
      </c>
      <c r="H177" s="161">
        <v>49</v>
      </c>
      <c r="I177" s="161">
        <v>2066</v>
      </c>
      <c r="J177" s="161">
        <v>0</v>
      </c>
      <c r="K177" s="123">
        <f t="shared" si="24"/>
        <v>384</v>
      </c>
      <c r="L177" s="124">
        <f t="shared" si="21"/>
        <v>24.5</v>
      </c>
      <c r="M177" s="124">
        <f t="shared" si="21"/>
        <v>1033</v>
      </c>
      <c r="N177" s="124">
        <f t="shared" si="21"/>
        <v>0</v>
      </c>
      <c r="O177" s="124">
        <f t="shared" si="22"/>
        <v>1441.5</v>
      </c>
      <c r="P177" s="124">
        <f t="shared" si="23"/>
        <v>24.5</v>
      </c>
      <c r="Q177" s="124">
        <f t="shared" si="23"/>
        <v>1033</v>
      </c>
      <c r="R177" s="124">
        <f t="shared" si="23"/>
        <v>0</v>
      </c>
      <c r="S177" s="118">
        <f t="shared" si="25"/>
        <v>1057.5</v>
      </c>
      <c r="T177" s="160">
        <f>320+184</f>
        <v>504</v>
      </c>
      <c r="U177" s="160"/>
      <c r="V177" s="161">
        <v>504</v>
      </c>
      <c r="W177" s="160">
        <v>3788</v>
      </c>
      <c r="X177" s="160"/>
      <c r="Y177" s="160">
        <f>3788-E177</f>
        <v>3788</v>
      </c>
      <c r="Z177" s="161">
        <v>0</v>
      </c>
      <c r="AA177" s="123"/>
      <c r="AB177" s="125">
        <v>6791</v>
      </c>
      <c r="AC177" s="117"/>
      <c r="AD177" s="118">
        <f t="shared" si="26"/>
        <v>1441.5</v>
      </c>
      <c r="AE177" s="118"/>
      <c r="AF177" s="118" t="e">
        <f>#REF!-AE177</f>
        <v>#REF!</v>
      </c>
      <c r="AG177" s="118">
        <v>78</v>
      </c>
      <c r="AH177" s="118" t="e">
        <f>#REF!-AG177</f>
        <v>#REF!</v>
      </c>
      <c r="AI177" s="118"/>
      <c r="AJ177" s="119"/>
      <c r="AK177" s="120">
        <f t="shared" si="27"/>
        <v>6791</v>
      </c>
    </row>
    <row r="178" spans="1:37" s="109" customFormat="1" ht="13.5" x14ac:dyDescent="0.25">
      <c r="A178" s="121">
        <v>80</v>
      </c>
      <c r="B178" s="122" t="s">
        <v>141</v>
      </c>
      <c r="C178" s="122">
        <v>23</v>
      </c>
      <c r="D178" s="122"/>
      <c r="E178" s="160"/>
      <c r="F178" s="160">
        <v>2200</v>
      </c>
      <c r="G178" s="160">
        <v>92</v>
      </c>
      <c r="H178" s="161">
        <v>51</v>
      </c>
      <c r="I178" s="161">
        <v>1540</v>
      </c>
      <c r="J178" s="161">
        <v>517</v>
      </c>
      <c r="K178" s="123">
        <f t="shared" si="24"/>
        <v>92</v>
      </c>
      <c r="L178" s="124">
        <f t="shared" si="21"/>
        <v>25.5</v>
      </c>
      <c r="M178" s="124">
        <f t="shared" si="21"/>
        <v>770</v>
      </c>
      <c r="N178" s="124">
        <f t="shared" si="21"/>
        <v>258.5</v>
      </c>
      <c r="O178" s="124">
        <f t="shared" si="22"/>
        <v>1146</v>
      </c>
      <c r="P178" s="124">
        <f t="shared" si="23"/>
        <v>25.5</v>
      </c>
      <c r="Q178" s="124">
        <f t="shared" si="23"/>
        <v>770</v>
      </c>
      <c r="R178" s="124">
        <f t="shared" si="23"/>
        <v>258.5</v>
      </c>
      <c r="S178" s="118">
        <f t="shared" si="25"/>
        <v>1054</v>
      </c>
      <c r="T178" s="160">
        <v>1123</v>
      </c>
      <c r="U178" s="160"/>
      <c r="V178" s="161">
        <v>1123</v>
      </c>
      <c r="W178" s="160">
        <v>2181</v>
      </c>
      <c r="X178" s="160"/>
      <c r="Y178" s="160">
        <v>2181</v>
      </c>
      <c r="Z178" s="161">
        <v>475</v>
      </c>
      <c r="AA178" s="123"/>
      <c r="AB178" s="125">
        <v>5979</v>
      </c>
      <c r="AC178" s="117">
        <v>12</v>
      </c>
      <c r="AD178" s="118">
        <f t="shared" si="26"/>
        <v>1134</v>
      </c>
      <c r="AE178" s="118"/>
      <c r="AF178" s="118" t="e">
        <f>#REF!-AE178</f>
        <v>#REF!</v>
      </c>
      <c r="AG178" s="118">
        <v>222</v>
      </c>
      <c r="AH178" s="118" t="e">
        <f>#REF!-AG178</f>
        <v>#REF!</v>
      </c>
      <c r="AI178" s="118"/>
      <c r="AJ178" s="119"/>
      <c r="AK178" s="120">
        <f t="shared" si="27"/>
        <v>5504</v>
      </c>
    </row>
    <row r="179" spans="1:37" s="109" customFormat="1" ht="13.5" x14ac:dyDescent="0.25">
      <c r="A179" s="121">
        <v>81</v>
      </c>
      <c r="B179" s="122" t="s">
        <v>141</v>
      </c>
      <c r="C179" s="122" t="s">
        <v>142</v>
      </c>
      <c r="D179" s="122"/>
      <c r="E179" s="160">
        <f>148.9+129.89</f>
        <v>278.78999999999996</v>
      </c>
      <c r="F179" s="160">
        <f>2127+E179</f>
        <v>2405.79</v>
      </c>
      <c r="G179" s="160">
        <f>148+E179</f>
        <v>426.78999999999996</v>
      </c>
      <c r="H179" s="161">
        <v>59</v>
      </c>
      <c r="I179" s="161">
        <v>813</v>
      </c>
      <c r="J179" s="161">
        <v>1107</v>
      </c>
      <c r="K179" s="123">
        <f t="shared" si="24"/>
        <v>426.78999999999996</v>
      </c>
      <c r="L179" s="124">
        <f t="shared" si="21"/>
        <v>29.5</v>
      </c>
      <c r="M179" s="124">
        <f t="shared" si="21"/>
        <v>406.5</v>
      </c>
      <c r="N179" s="124">
        <f t="shared" si="21"/>
        <v>553.5</v>
      </c>
      <c r="O179" s="124">
        <f t="shared" si="22"/>
        <v>1416.29</v>
      </c>
      <c r="P179" s="124">
        <f t="shared" si="23"/>
        <v>29.5</v>
      </c>
      <c r="Q179" s="124">
        <f t="shared" si="23"/>
        <v>406.5</v>
      </c>
      <c r="R179" s="124">
        <f t="shared" si="23"/>
        <v>553.5</v>
      </c>
      <c r="S179" s="118">
        <f t="shared" si="25"/>
        <v>989.5</v>
      </c>
      <c r="T179" s="160">
        <f>143+317</f>
        <v>460</v>
      </c>
      <c r="U179" s="160"/>
      <c r="V179" s="161">
        <v>460</v>
      </c>
      <c r="W179" s="160">
        <v>3078</v>
      </c>
      <c r="X179" s="160"/>
      <c r="Y179" s="160">
        <f>3078-E179</f>
        <v>2799.21</v>
      </c>
      <c r="Z179" s="161">
        <v>982</v>
      </c>
      <c r="AA179" s="123"/>
      <c r="AB179" s="125">
        <v>6647</v>
      </c>
      <c r="AC179" s="117"/>
      <c r="AD179" s="118">
        <f t="shared" si="26"/>
        <v>1416.29</v>
      </c>
      <c r="AE179" s="118"/>
      <c r="AF179" s="118" t="e">
        <f>#REF!-AE179</f>
        <v>#REF!</v>
      </c>
      <c r="AG179" s="118"/>
      <c r="AH179" s="118" t="e">
        <f>#REF!-AG179</f>
        <v>#REF!</v>
      </c>
      <c r="AI179" s="118"/>
      <c r="AJ179" s="119"/>
      <c r="AK179" s="120">
        <f t="shared" si="27"/>
        <v>5943.79</v>
      </c>
    </row>
    <row r="180" spans="1:37" s="109" customFormat="1" ht="13.5" x14ac:dyDescent="0.25">
      <c r="A180" s="121">
        <v>82</v>
      </c>
      <c r="B180" s="122" t="s">
        <v>141</v>
      </c>
      <c r="C180" s="122">
        <v>38</v>
      </c>
      <c r="D180" s="122"/>
      <c r="E180" s="160"/>
      <c r="F180" s="160">
        <v>1030</v>
      </c>
      <c r="G180" s="160">
        <f>57</f>
        <v>57</v>
      </c>
      <c r="H180" s="161">
        <v>12</v>
      </c>
      <c r="I180" s="161">
        <v>696</v>
      </c>
      <c r="J180" s="161">
        <v>265</v>
      </c>
      <c r="K180" s="123">
        <f t="shared" si="24"/>
        <v>57</v>
      </c>
      <c r="L180" s="124">
        <f t="shared" si="21"/>
        <v>6</v>
      </c>
      <c r="M180" s="124">
        <f t="shared" si="21"/>
        <v>348</v>
      </c>
      <c r="N180" s="124">
        <f t="shared" si="21"/>
        <v>132.5</v>
      </c>
      <c r="O180" s="124">
        <f t="shared" si="22"/>
        <v>543.5</v>
      </c>
      <c r="P180" s="124">
        <f t="shared" si="23"/>
        <v>6</v>
      </c>
      <c r="Q180" s="124">
        <f t="shared" si="23"/>
        <v>348</v>
      </c>
      <c r="R180" s="124">
        <f t="shared" si="23"/>
        <v>132.5</v>
      </c>
      <c r="S180" s="118">
        <f t="shared" si="25"/>
        <v>486.5</v>
      </c>
      <c r="T180" s="160"/>
      <c r="U180" s="160"/>
      <c r="V180" s="161">
        <v>0</v>
      </c>
      <c r="W180" s="160">
        <v>3371</v>
      </c>
      <c r="X180" s="160"/>
      <c r="Y180" s="160">
        <v>3371</v>
      </c>
      <c r="Z180" s="161">
        <v>0</v>
      </c>
      <c r="AA180" s="123"/>
      <c r="AB180" s="125">
        <v>4401</v>
      </c>
      <c r="AC180" s="117"/>
      <c r="AD180" s="118">
        <f t="shared" si="26"/>
        <v>543.5</v>
      </c>
      <c r="AE180" s="118"/>
      <c r="AF180" s="118" t="e">
        <f>#REF!-AE180</f>
        <v>#REF!</v>
      </c>
      <c r="AG180" s="118">
        <v>6</v>
      </c>
      <c r="AH180" s="118" t="e">
        <f>#REF!-AG180</f>
        <v>#REF!</v>
      </c>
      <c r="AI180" s="118"/>
      <c r="AJ180" s="119"/>
      <c r="AK180" s="120">
        <f t="shared" si="27"/>
        <v>4401</v>
      </c>
    </row>
    <row r="181" spans="1:37" s="109" customFormat="1" ht="13.5" x14ac:dyDescent="0.25">
      <c r="A181" s="121">
        <v>83</v>
      </c>
      <c r="B181" s="122" t="s">
        <v>143</v>
      </c>
      <c r="C181" s="122">
        <v>3</v>
      </c>
      <c r="D181" s="122">
        <v>2</v>
      </c>
      <c r="E181" s="160">
        <f>539.95</f>
        <v>539.95000000000005</v>
      </c>
      <c r="F181" s="160">
        <f>2100+E181</f>
        <v>2639.95</v>
      </c>
      <c r="G181" s="160">
        <v>1013.95</v>
      </c>
      <c r="H181" s="161">
        <v>317</v>
      </c>
      <c r="I181" s="161">
        <f>1387-155-147+147</f>
        <v>1232</v>
      </c>
      <c r="J181" s="161">
        <f>77</f>
        <v>77</v>
      </c>
      <c r="K181" s="123">
        <f t="shared" si="24"/>
        <v>1013.95</v>
      </c>
      <c r="L181" s="124">
        <f t="shared" si="21"/>
        <v>158.5</v>
      </c>
      <c r="M181" s="124">
        <f t="shared" si="21"/>
        <v>616</v>
      </c>
      <c r="N181" s="124">
        <f t="shared" si="21"/>
        <v>38.5</v>
      </c>
      <c r="O181" s="124">
        <f t="shared" si="22"/>
        <v>1826.95</v>
      </c>
      <c r="P181" s="124">
        <f t="shared" si="23"/>
        <v>158.5</v>
      </c>
      <c r="Q181" s="124">
        <f t="shared" si="23"/>
        <v>616</v>
      </c>
      <c r="R181" s="124">
        <f t="shared" si="23"/>
        <v>38.5</v>
      </c>
      <c r="S181" s="118">
        <f t="shared" si="25"/>
        <v>813</v>
      </c>
      <c r="T181" s="160">
        <v>0</v>
      </c>
      <c r="U181" s="160"/>
      <c r="V181" s="161">
        <v>0</v>
      </c>
      <c r="W181" s="160">
        <v>4345</v>
      </c>
      <c r="X181" s="160"/>
      <c r="Y181" s="160">
        <f>4345-E181</f>
        <v>3805.05</v>
      </c>
      <c r="Z181" s="161">
        <v>0</v>
      </c>
      <c r="AA181" s="123"/>
      <c r="AB181" s="125">
        <v>6445</v>
      </c>
      <c r="AC181" s="117">
        <v>72</v>
      </c>
      <c r="AD181" s="118">
        <f t="shared" si="26"/>
        <v>1754.95</v>
      </c>
      <c r="AE181" s="118"/>
      <c r="AF181" s="118" t="e">
        <f>#REF!-AE181</f>
        <v>#REF!</v>
      </c>
      <c r="AG181" s="118">
        <v>60</v>
      </c>
      <c r="AH181" s="118" t="e">
        <f>#REF!-AG181</f>
        <v>#REF!</v>
      </c>
      <c r="AI181" s="118"/>
      <c r="AJ181" s="119"/>
      <c r="AK181" s="120">
        <f t="shared" si="27"/>
        <v>6984.95</v>
      </c>
    </row>
    <row r="182" spans="1:37" s="109" customFormat="1" ht="13.5" x14ac:dyDescent="0.25">
      <c r="A182" s="121">
        <v>84</v>
      </c>
      <c r="B182" s="122" t="s">
        <v>143</v>
      </c>
      <c r="C182" s="122">
        <v>9</v>
      </c>
      <c r="D182" s="122"/>
      <c r="E182" s="160">
        <f>177.24</f>
        <v>177.24</v>
      </c>
      <c r="F182" s="160">
        <f>513+E182</f>
        <v>690.24</v>
      </c>
      <c r="G182" s="160">
        <v>391.24</v>
      </c>
      <c r="H182" s="161">
        <v>49</v>
      </c>
      <c r="I182" s="161">
        <f>389-139</f>
        <v>250</v>
      </c>
      <c r="J182" s="161"/>
      <c r="K182" s="123">
        <f t="shared" si="24"/>
        <v>391.24</v>
      </c>
      <c r="L182" s="124">
        <f t="shared" si="21"/>
        <v>24.5</v>
      </c>
      <c r="M182" s="124">
        <f t="shared" si="21"/>
        <v>125</v>
      </c>
      <c r="N182" s="124">
        <f t="shared" si="21"/>
        <v>0</v>
      </c>
      <c r="O182" s="124">
        <f t="shared" si="22"/>
        <v>540.74</v>
      </c>
      <c r="P182" s="124">
        <f t="shared" si="23"/>
        <v>24.5</v>
      </c>
      <c r="Q182" s="124">
        <f t="shared" si="23"/>
        <v>125</v>
      </c>
      <c r="R182" s="124">
        <f t="shared" si="23"/>
        <v>0</v>
      </c>
      <c r="S182" s="118">
        <f t="shared" si="25"/>
        <v>149.5</v>
      </c>
      <c r="T182" s="160">
        <v>189</v>
      </c>
      <c r="U182" s="160"/>
      <c r="V182" s="161">
        <v>189</v>
      </c>
      <c r="W182" s="160">
        <v>4314</v>
      </c>
      <c r="X182" s="160"/>
      <c r="Y182" s="160">
        <f>4314-E182</f>
        <v>4136.76</v>
      </c>
      <c r="Z182" s="161">
        <v>0</v>
      </c>
      <c r="AA182" s="123">
        <v>7</v>
      </c>
      <c r="AB182" s="125">
        <v>5016</v>
      </c>
      <c r="AC182" s="117"/>
      <c r="AD182" s="118">
        <f t="shared" si="26"/>
        <v>540.74</v>
      </c>
      <c r="AE182" s="118"/>
      <c r="AF182" s="118" t="e">
        <f>#REF!-AE182</f>
        <v>#REF!</v>
      </c>
      <c r="AG182" s="118">
        <v>12</v>
      </c>
      <c r="AH182" s="118" t="e">
        <f>#REF!-AG182</f>
        <v>#REF!</v>
      </c>
      <c r="AI182" s="118">
        <v>7</v>
      </c>
      <c r="AJ182" s="119"/>
      <c r="AK182" s="120">
        <f t="shared" si="27"/>
        <v>5193.24</v>
      </c>
    </row>
    <row r="183" spans="1:37" s="109" customFormat="1" ht="14.25" thickBot="1" x14ac:dyDescent="0.3">
      <c r="A183" s="129">
        <v>85</v>
      </c>
      <c r="B183" s="130" t="s">
        <v>144</v>
      </c>
      <c r="C183" s="130">
        <v>6</v>
      </c>
      <c r="D183" s="130"/>
      <c r="E183" s="163"/>
      <c r="F183" s="163">
        <v>404</v>
      </c>
      <c r="G183" s="163">
        <f>65+188</f>
        <v>253</v>
      </c>
      <c r="H183" s="164">
        <v>6</v>
      </c>
      <c r="I183" s="164">
        <f>333-188</f>
        <v>145</v>
      </c>
      <c r="J183" s="164"/>
      <c r="K183" s="131">
        <f t="shared" si="24"/>
        <v>253</v>
      </c>
      <c r="L183" s="100">
        <f t="shared" si="21"/>
        <v>3</v>
      </c>
      <c r="M183" s="100">
        <f t="shared" si="21"/>
        <v>72.5</v>
      </c>
      <c r="N183" s="100">
        <f t="shared" si="21"/>
        <v>0</v>
      </c>
      <c r="O183" s="100">
        <f t="shared" si="22"/>
        <v>328.5</v>
      </c>
      <c r="P183" s="100">
        <f t="shared" si="23"/>
        <v>3</v>
      </c>
      <c r="Q183" s="100">
        <f t="shared" si="23"/>
        <v>72.5</v>
      </c>
      <c r="R183" s="100">
        <f t="shared" si="23"/>
        <v>0</v>
      </c>
      <c r="S183" s="98">
        <f t="shared" si="25"/>
        <v>75.5</v>
      </c>
      <c r="T183" s="163">
        <v>7</v>
      </c>
      <c r="U183" s="163"/>
      <c r="V183" s="164">
        <v>7</v>
      </c>
      <c r="W183" s="163">
        <v>225</v>
      </c>
      <c r="X183" s="163"/>
      <c r="Y183" s="163">
        <v>225</v>
      </c>
      <c r="Z183" s="164">
        <v>0</v>
      </c>
      <c r="AA183" s="131"/>
      <c r="AB183" s="132">
        <v>636</v>
      </c>
      <c r="AC183" s="117"/>
      <c r="AD183" s="118">
        <f t="shared" si="26"/>
        <v>328.5</v>
      </c>
      <c r="AE183" s="118"/>
      <c r="AF183" s="118" t="e">
        <f>#REF!-AE183</f>
        <v>#REF!</v>
      </c>
      <c r="AG183" s="118"/>
      <c r="AH183" s="118" t="e">
        <f>#REF!-AG183</f>
        <v>#REF!</v>
      </c>
      <c r="AI183" s="118"/>
      <c r="AJ183" s="119"/>
      <c r="AK183" s="120">
        <f t="shared" si="27"/>
        <v>636</v>
      </c>
    </row>
    <row r="184" spans="1:37" s="147" customFormat="1" ht="14.25" thickBot="1" x14ac:dyDescent="0.3">
      <c r="A184" s="135"/>
      <c r="B184" s="136" t="s">
        <v>145</v>
      </c>
      <c r="C184" s="136"/>
      <c r="D184" s="136"/>
      <c r="E184" s="137">
        <f>SUM(E99:E183)</f>
        <v>18249.630000000008</v>
      </c>
      <c r="F184" s="137">
        <f t="shared" ref="F184:AI184" si="28">SUM(F99:F183)</f>
        <v>174870.62999999998</v>
      </c>
      <c r="G184" s="137">
        <f t="shared" si="28"/>
        <v>41972.63</v>
      </c>
      <c r="H184" s="183">
        <f t="shared" si="28"/>
        <v>17482</v>
      </c>
      <c r="I184" s="183">
        <f t="shared" si="28"/>
        <v>64975</v>
      </c>
      <c r="J184" s="183">
        <f t="shared" si="28"/>
        <v>50441</v>
      </c>
      <c r="K184" s="137">
        <f t="shared" si="28"/>
        <v>41972.63</v>
      </c>
      <c r="L184" s="184">
        <f t="shared" si="28"/>
        <v>8741</v>
      </c>
      <c r="M184" s="184">
        <f t="shared" si="28"/>
        <v>32487.5</v>
      </c>
      <c r="N184" s="184">
        <f t="shared" si="28"/>
        <v>25220.5</v>
      </c>
      <c r="O184" s="184">
        <f t="shared" si="28"/>
        <v>108421.63</v>
      </c>
      <c r="P184" s="184">
        <f t="shared" si="28"/>
        <v>8741</v>
      </c>
      <c r="Q184" s="184">
        <f t="shared" si="28"/>
        <v>32487.5</v>
      </c>
      <c r="R184" s="184">
        <f t="shared" si="28"/>
        <v>25220.5</v>
      </c>
      <c r="S184" s="183">
        <f t="shared" si="28"/>
        <v>66449</v>
      </c>
      <c r="T184" s="137">
        <f t="shared" si="28"/>
        <v>20574</v>
      </c>
      <c r="U184" s="137">
        <f t="shared" si="28"/>
        <v>0</v>
      </c>
      <c r="V184" s="183">
        <f t="shared" si="28"/>
        <v>20429</v>
      </c>
      <c r="W184" s="137">
        <f t="shared" si="28"/>
        <v>446825</v>
      </c>
      <c r="X184" s="137">
        <f t="shared" si="28"/>
        <v>0</v>
      </c>
      <c r="Y184" s="137">
        <f t="shared" si="28"/>
        <v>428720.37</v>
      </c>
      <c r="Z184" s="183">
        <f t="shared" si="28"/>
        <v>9625</v>
      </c>
      <c r="AA184" s="137">
        <f t="shared" si="28"/>
        <v>553.5</v>
      </c>
      <c r="AB184" s="185">
        <f t="shared" si="28"/>
        <v>633645</v>
      </c>
      <c r="AC184" s="143">
        <f t="shared" si="28"/>
        <v>1032</v>
      </c>
      <c r="AD184" s="144">
        <f t="shared" si="28"/>
        <v>107389.63</v>
      </c>
      <c r="AE184" s="144">
        <f t="shared" si="28"/>
        <v>486</v>
      </c>
      <c r="AF184" s="144" t="e">
        <f t="shared" si="28"/>
        <v>#REF!</v>
      </c>
      <c r="AG184" s="144">
        <f t="shared" si="28"/>
        <v>2532</v>
      </c>
      <c r="AH184" s="144" t="e">
        <f t="shared" si="28"/>
        <v>#REF!</v>
      </c>
      <c r="AI184" s="144">
        <f t="shared" si="28"/>
        <v>559</v>
      </c>
      <c r="AJ184" s="146"/>
      <c r="AK184" s="120">
        <f t="shared" si="27"/>
        <v>642269.63</v>
      </c>
    </row>
    <row r="185" spans="1:37" s="109" customFormat="1" ht="13.5" x14ac:dyDescent="0.25">
      <c r="A185" s="186"/>
      <c r="B185" s="157" t="s">
        <v>146</v>
      </c>
      <c r="C185" s="157"/>
      <c r="D185" s="157"/>
      <c r="E185" s="83"/>
      <c r="F185" s="83"/>
      <c r="G185" s="83"/>
      <c r="H185" s="76"/>
      <c r="I185" s="76"/>
      <c r="J185" s="76"/>
      <c r="K185" s="113"/>
      <c r="L185" s="115"/>
      <c r="M185" s="115"/>
      <c r="N185" s="115"/>
      <c r="O185" s="115"/>
      <c r="P185" s="115"/>
      <c r="Q185" s="115"/>
      <c r="R185" s="115"/>
      <c r="S185" s="114"/>
      <c r="T185" s="83"/>
      <c r="U185" s="83"/>
      <c r="V185" s="76"/>
      <c r="W185" s="83"/>
      <c r="X185" s="83"/>
      <c r="Y185" s="83"/>
      <c r="Z185" s="76"/>
      <c r="AA185" s="113"/>
      <c r="AB185" s="116"/>
      <c r="AC185" s="76"/>
      <c r="AD185" s="76"/>
      <c r="AE185" s="76"/>
      <c r="AF185" s="76"/>
      <c r="AG185" s="76"/>
      <c r="AH185" s="76"/>
      <c r="AI185" s="118"/>
      <c r="AK185" s="120">
        <f t="shared" si="27"/>
        <v>0</v>
      </c>
    </row>
    <row r="186" spans="1:37" s="109" customFormat="1" ht="13.5" x14ac:dyDescent="0.25">
      <c r="A186" s="121">
        <v>1</v>
      </c>
      <c r="B186" s="122" t="s">
        <v>147</v>
      </c>
      <c r="C186" s="122">
        <v>4</v>
      </c>
      <c r="D186" s="122"/>
      <c r="E186" s="180">
        <f>94.17</f>
        <v>94.17</v>
      </c>
      <c r="F186" s="180">
        <f>1737+E186</f>
        <v>1831.17</v>
      </c>
      <c r="G186" s="180">
        <v>250.17</v>
      </c>
      <c r="H186" s="181">
        <v>601</v>
      </c>
      <c r="I186" s="181">
        <v>663</v>
      </c>
      <c r="J186" s="181">
        <v>317</v>
      </c>
      <c r="K186" s="123">
        <f t="shared" si="24"/>
        <v>250.17</v>
      </c>
      <c r="L186" s="124">
        <f t="shared" si="21"/>
        <v>300.5</v>
      </c>
      <c r="M186" s="124">
        <f t="shared" si="21"/>
        <v>331.5</v>
      </c>
      <c r="N186" s="124">
        <f t="shared" si="21"/>
        <v>158.5</v>
      </c>
      <c r="O186" s="124">
        <f t="shared" si="22"/>
        <v>1040.67</v>
      </c>
      <c r="P186" s="124">
        <f t="shared" si="23"/>
        <v>300.5</v>
      </c>
      <c r="Q186" s="124">
        <f t="shared" si="23"/>
        <v>331.5</v>
      </c>
      <c r="R186" s="124">
        <f t="shared" si="23"/>
        <v>158.5</v>
      </c>
      <c r="S186" s="118">
        <f t="shared" si="25"/>
        <v>790.5</v>
      </c>
      <c r="T186" s="180"/>
      <c r="U186" s="180"/>
      <c r="V186" s="181">
        <v>0</v>
      </c>
      <c r="W186" s="180">
        <v>3310</v>
      </c>
      <c r="X186" s="180"/>
      <c r="Y186" s="180">
        <f>3310-E186</f>
        <v>3215.83</v>
      </c>
      <c r="Z186" s="181">
        <v>0</v>
      </c>
      <c r="AA186" s="123"/>
      <c r="AB186" s="125">
        <v>5047</v>
      </c>
      <c r="AC186" s="117"/>
      <c r="AD186" s="118">
        <f>O186-AC186</f>
        <v>1040.67</v>
      </c>
      <c r="AE186" s="118"/>
      <c r="AF186" s="118" t="e">
        <f>#REF!-AE186</f>
        <v>#REF!</v>
      </c>
      <c r="AG186" s="118">
        <v>114</v>
      </c>
      <c r="AH186" s="118" t="e">
        <f>#REF!-AG186</f>
        <v>#REF!</v>
      </c>
      <c r="AI186" s="187"/>
      <c r="AJ186" s="119"/>
      <c r="AK186" s="120">
        <f t="shared" si="27"/>
        <v>5141.17</v>
      </c>
    </row>
    <row r="187" spans="1:37" s="109" customFormat="1" ht="13.5" x14ac:dyDescent="0.25">
      <c r="A187" s="121">
        <v>2</v>
      </c>
      <c r="B187" s="122" t="s">
        <v>147</v>
      </c>
      <c r="C187" s="122">
        <v>14</v>
      </c>
      <c r="D187" s="122"/>
      <c r="E187" s="180"/>
      <c r="F187" s="180">
        <v>1409</v>
      </c>
      <c r="G187" s="180">
        <f>63+78</f>
        <v>141</v>
      </c>
      <c r="H187" s="181">
        <v>261</v>
      </c>
      <c r="I187" s="181">
        <f>1085-78</f>
        <v>1007</v>
      </c>
      <c r="J187" s="181"/>
      <c r="K187" s="123">
        <f t="shared" si="24"/>
        <v>141</v>
      </c>
      <c r="L187" s="124">
        <f t="shared" si="21"/>
        <v>130.5</v>
      </c>
      <c r="M187" s="124">
        <f t="shared" si="21"/>
        <v>503.5</v>
      </c>
      <c r="N187" s="124">
        <f t="shared" si="21"/>
        <v>0</v>
      </c>
      <c r="O187" s="124">
        <f t="shared" si="22"/>
        <v>775</v>
      </c>
      <c r="P187" s="124">
        <f t="shared" si="23"/>
        <v>130.5</v>
      </c>
      <c r="Q187" s="124">
        <f t="shared" si="23"/>
        <v>503.5</v>
      </c>
      <c r="R187" s="124">
        <f t="shared" si="23"/>
        <v>0</v>
      </c>
      <c r="S187" s="118">
        <f t="shared" si="25"/>
        <v>634</v>
      </c>
      <c r="T187" s="180">
        <f>170+569</f>
        <v>739</v>
      </c>
      <c r="U187" s="180"/>
      <c r="V187" s="181">
        <v>739</v>
      </c>
      <c r="W187" s="180">
        <f>3880+221</f>
        <v>4101</v>
      </c>
      <c r="X187" s="180"/>
      <c r="Y187" s="180">
        <v>4101</v>
      </c>
      <c r="Z187" s="181">
        <v>1008</v>
      </c>
      <c r="AA187" s="123"/>
      <c r="AB187" s="125">
        <v>7257</v>
      </c>
      <c r="AC187" s="117"/>
      <c r="AD187" s="118">
        <f>O187-AC187</f>
        <v>775</v>
      </c>
      <c r="AE187" s="118"/>
      <c r="AF187" s="118" t="e">
        <f>#REF!-AE187</f>
        <v>#REF!</v>
      </c>
      <c r="AG187" s="118"/>
      <c r="AH187" s="118" t="e">
        <f>#REF!-AG187</f>
        <v>#REF!</v>
      </c>
      <c r="AI187" s="187"/>
      <c r="AJ187" s="119"/>
      <c r="AK187" s="120">
        <f t="shared" si="27"/>
        <v>6249</v>
      </c>
    </row>
    <row r="188" spans="1:37" s="109" customFormat="1" ht="13.5" x14ac:dyDescent="0.25">
      <c r="A188" s="121">
        <v>3</v>
      </c>
      <c r="B188" s="122" t="s">
        <v>147</v>
      </c>
      <c r="C188" s="122">
        <v>16</v>
      </c>
      <c r="D188" s="122"/>
      <c r="E188" s="180"/>
      <c r="F188" s="180">
        <v>1020</v>
      </c>
      <c r="G188" s="180">
        <f>58</f>
        <v>58</v>
      </c>
      <c r="H188" s="181">
        <v>46</v>
      </c>
      <c r="I188" s="181"/>
      <c r="J188" s="181">
        <v>916</v>
      </c>
      <c r="K188" s="123">
        <f t="shared" si="24"/>
        <v>58</v>
      </c>
      <c r="L188" s="124">
        <f t="shared" si="21"/>
        <v>23</v>
      </c>
      <c r="M188" s="124">
        <f t="shared" si="21"/>
        <v>0</v>
      </c>
      <c r="N188" s="124">
        <f t="shared" si="21"/>
        <v>458</v>
      </c>
      <c r="O188" s="124">
        <f t="shared" si="22"/>
        <v>539</v>
      </c>
      <c r="P188" s="124">
        <f t="shared" si="23"/>
        <v>23</v>
      </c>
      <c r="Q188" s="124">
        <f t="shared" si="23"/>
        <v>0</v>
      </c>
      <c r="R188" s="124">
        <f t="shared" si="23"/>
        <v>458</v>
      </c>
      <c r="S188" s="118">
        <f t="shared" si="25"/>
        <v>481</v>
      </c>
      <c r="T188" s="180"/>
      <c r="U188" s="180"/>
      <c r="V188" s="181">
        <v>0</v>
      </c>
      <c r="W188" s="180">
        <v>3142</v>
      </c>
      <c r="X188" s="180"/>
      <c r="Y188" s="180">
        <v>3142</v>
      </c>
      <c r="Z188" s="181">
        <v>0</v>
      </c>
      <c r="AA188" s="123">
        <v>14</v>
      </c>
      <c r="AB188" s="125">
        <v>4162</v>
      </c>
      <c r="AC188" s="117"/>
      <c r="AD188" s="118">
        <f>O188-AC188</f>
        <v>539</v>
      </c>
      <c r="AE188" s="118"/>
      <c r="AF188" s="118" t="e">
        <f>#REF!-AE188</f>
        <v>#REF!</v>
      </c>
      <c r="AG188" s="118">
        <v>6</v>
      </c>
      <c r="AH188" s="118" t="e">
        <f>#REF!-AG188</f>
        <v>#REF!</v>
      </c>
      <c r="AI188" s="187">
        <v>14</v>
      </c>
      <c r="AJ188" s="119"/>
      <c r="AK188" s="120">
        <f t="shared" si="27"/>
        <v>4162</v>
      </c>
    </row>
    <row r="189" spans="1:37" s="109" customFormat="1" ht="14.25" thickBot="1" x14ac:dyDescent="0.3">
      <c r="A189" s="129">
        <v>4</v>
      </c>
      <c r="B189" s="130" t="s">
        <v>147</v>
      </c>
      <c r="C189" s="130">
        <v>29</v>
      </c>
      <c r="D189" s="130"/>
      <c r="E189" s="188">
        <f>108.55+76.9</f>
        <v>185.45</v>
      </c>
      <c r="F189" s="188">
        <f>4754+E189</f>
        <v>4939.45</v>
      </c>
      <c r="G189" s="188">
        <f>867+E189</f>
        <v>1052.45</v>
      </c>
      <c r="H189" s="189">
        <v>701</v>
      </c>
      <c r="I189" s="189">
        <f>1840-571</f>
        <v>1269</v>
      </c>
      <c r="J189" s="189">
        <v>1917</v>
      </c>
      <c r="K189" s="131">
        <f t="shared" si="24"/>
        <v>1052.45</v>
      </c>
      <c r="L189" s="100">
        <f t="shared" si="21"/>
        <v>350.5</v>
      </c>
      <c r="M189" s="100">
        <f t="shared" si="21"/>
        <v>634.5</v>
      </c>
      <c r="N189" s="100">
        <f t="shared" si="21"/>
        <v>958.5</v>
      </c>
      <c r="O189" s="100">
        <f t="shared" si="22"/>
        <v>2995.95</v>
      </c>
      <c r="P189" s="100">
        <f t="shared" si="23"/>
        <v>350.5</v>
      </c>
      <c r="Q189" s="100">
        <f t="shared" si="23"/>
        <v>634.5</v>
      </c>
      <c r="R189" s="100">
        <f t="shared" si="23"/>
        <v>958.5</v>
      </c>
      <c r="S189" s="98">
        <f t="shared" si="25"/>
        <v>1943.5</v>
      </c>
      <c r="T189" s="188">
        <f>492+144</f>
        <v>636</v>
      </c>
      <c r="U189" s="188"/>
      <c r="V189" s="189">
        <v>636</v>
      </c>
      <c r="W189" s="188">
        <f>11100</f>
        <v>11100</v>
      </c>
      <c r="X189" s="188"/>
      <c r="Y189" s="188">
        <f>11100-E189</f>
        <v>10914.55</v>
      </c>
      <c r="Z189" s="189">
        <v>0</v>
      </c>
      <c r="AA189" s="131">
        <v>17.5</v>
      </c>
      <c r="AB189" s="132">
        <v>16490</v>
      </c>
      <c r="AC189" s="178">
        <v>60</v>
      </c>
      <c r="AD189" s="118">
        <f>O189-AC189</f>
        <v>2935.95</v>
      </c>
      <c r="AE189" s="118"/>
      <c r="AF189" s="118" t="e">
        <f>#REF!-AE189</f>
        <v>#REF!</v>
      </c>
      <c r="AG189" s="118">
        <v>6</v>
      </c>
      <c r="AH189" s="118" t="e">
        <f>#REF!-AG189</f>
        <v>#REF!</v>
      </c>
      <c r="AI189" s="187">
        <v>18</v>
      </c>
      <c r="AJ189" s="119"/>
      <c r="AK189" s="120">
        <f t="shared" si="27"/>
        <v>16675.45</v>
      </c>
    </row>
    <row r="190" spans="1:37" s="147" customFormat="1" ht="14.25" thickBot="1" x14ac:dyDescent="0.3">
      <c r="A190" s="135"/>
      <c r="B190" s="136" t="s">
        <v>148</v>
      </c>
      <c r="C190" s="136"/>
      <c r="D190" s="136"/>
      <c r="E190" s="139">
        <f>SUM(E186:E189)</f>
        <v>279.62</v>
      </c>
      <c r="F190" s="139">
        <f t="shared" ref="F190:AJ190" si="29">SUM(F186:F189)</f>
        <v>9199.619999999999</v>
      </c>
      <c r="G190" s="139">
        <f t="shared" si="29"/>
        <v>1501.62</v>
      </c>
      <c r="H190" s="140">
        <f t="shared" si="29"/>
        <v>1609</v>
      </c>
      <c r="I190" s="140">
        <f t="shared" si="29"/>
        <v>2939</v>
      </c>
      <c r="J190" s="140">
        <f t="shared" si="29"/>
        <v>3150</v>
      </c>
      <c r="K190" s="139">
        <f t="shared" si="29"/>
        <v>1501.62</v>
      </c>
      <c r="L190" s="141">
        <f t="shared" si="29"/>
        <v>804.5</v>
      </c>
      <c r="M190" s="141">
        <f t="shared" si="29"/>
        <v>1469.5</v>
      </c>
      <c r="N190" s="141">
        <f t="shared" si="29"/>
        <v>1575</v>
      </c>
      <c r="O190" s="141">
        <f t="shared" si="29"/>
        <v>5350.62</v>
      </c>
      <c r="P190" s="141">
        <f t="shared" si="29"/>
        <v>804.5</v>
      </c>
      <c r="Q190" s="141">
        <f t="shared" si="29"/>
        <v>1469.5</v>
      </c>
      <c r="R190" s="141">
        <f t="shared" si="29"/>
        <v>1575</v>
      </c>
      <c r="S190" s="140">
        <f t="shared" si="29"/>
        <v>3849</v>
      </c>
      <c r="T190" s="139">
        <f t="shared" si="29"/>
        <v>1375</v>
      </c>
      <c r="U190" s="139">
        <f t="shared" si="29"/>
        <v>0</v>
      </c>
      <c r="V190" s="140">
        <f t="shared" si="29"/>
        <v>1375</v>
      </c>
      <c r="W190" s="139">
        <f t="shared" si="29"/>
        <v>21653</v>
      </c>
      <c r="X190" s="139">
        <f t="shared" si="29"/>
        <v>0</v>
      </c>
      <c r="Y190" s="139">
        <f t="shared" si="29"/>
        <v>21373.379999999997</v>
      </c>
      <c r="Z190" s="140">
        <f t="shared" si="29"/>
        <v>1008</v>
      </c>
      <c r="AA190" s="139">
        <f t="shared" si="29"/>
        <v>31.5</v>
      </c>
      <c r="AB190" s="142">
        <f t="shared" si="29"/>
        <v>32956</v>
      </c>
      <c r="AC190" s="143">
        <f t="shared" si="29"/>
        <v>60</v>
      </c>
      <c r="AD190" s="144">
        <f t="shared" si="29"/>
        <v>5290.62</v>
      </c>
      <c r="AE190" s="144">
        <f t="shared" si="29"/>
        <v>0</v>
      </c>
      <c r="AF190" s="144" t="e">
        <f t="shared" si="29"/>
        <v>#REF!</v>
      </c>
      <c r="AG190" s="144">
        <f t="shared" si="29"/>
        <v>126</v>
      </c>
      <c r="AH190" s="145" t="e">
        <f t="shared" si="29"/>
        <v>#REF!</v>
      </c>
      <c r="AI190" s="145">
        <f t="shared" si="29"/>
        <v>32</v>
      </c>
      <c r="AJ190" s="145">
        <f t="shared" si="29"/>
        <v>0</v>
      </c>
      <c r="AK190" s="120">
        <f t="shared" si="27"/>
        <v>32227.62</v>
      </c>
    </row>
    <row r="191" spans="1:37" s="147" customFormat="1" ht="14.25" thickBot="1" x14ac:dyDescent="0.3">
      <c r="A191" s="135"/>
      <c r="B191" s="136" t="s">
        <v>149</v>
      </c>
      <c r="C191" s="136"/>
      <c r="D191" s="136"/>
      <c r="E191" s="139">
        <f>E184+E190</f>
        <v>18529.250000000007</v>
      </c>
      <c r="F191" s="139">
        <f t="shared" ref="F191:AJ191" si="30">F184+F190</f>
        <v>184070.24999999997</v>
      </c>
      <c r="G191" s="139">
        <f t="shared" si="30"/>
        <v>43474.25</v>
      </c>
      <c r="H191" s="140">
        <f t="shared" si="30"/>
        <v>19091</v>
      </c>
      <c r="I191" s="140">
        <f t="shared" si="30"/>
        <v>67914</v>
      </c>
      <c r="J191" s="140">
        <f t="shared" si="30"/>
        <v>53591</v>
      </c>
      <c r="K191" s="139">
        <f t="shared" si="30"/>
        <v>43474.25</v>
      </c>
      <c r="L191" s="141">
        <f t="shared" si="30"/>
        <v>9545.5</v>
      </c>
      <c r="M191" s="141">
        <f t="shared" si="30"/>
        <v>33957</v>
      </c>
      <c r="N191" s="140">
        <f t="shared" si="30"/>
        <v>26795.5</v>
      </c>
      <c r="O191" s="141">
        <f t="shared" si="30"/>
        <v>113772.25</v>
      </c>
      <c r="P191" s="141">
        <f t="shared" si="30"/>
        <v>9545.5</v>
      </c>
      <c r="Q191" s="140">
        <f t="shared" si="30"/>
        <v>33957</v>
      </c>
      <c r="R191" s="141">
        <f t="shared" si="30"/>
        <v>26795.5</v>
      </c>
      <c r="S191" s="140">
        <f t="shared" si="30"/>
        <v>70298</v>
      </c>
      <c r="T191" s="139">
        <f t="shared" si="30"/>
        <v>21949</v>
      </c>
      <c r="U191" s="139">
        <f t="shared" si="30"/>
        <v>0</v>
      </c>
      <c r="V191" s="140">
        <f t="shared" si="30"/>
        <v>21804</v>
      </c>
      <c r="W191" s="139">
        <f t="shared" si="30"/>
        <v>468478</v>
      </c>
      <c r="X191" s="139">
        <f t="shared" si="30"/>
        <v>0</v>
      </c>
      <c r="Y191" s="139">
        <f t="shared" si="30"/>
        <v>450093.75</v>
      </c>
      <c r="Z191" s="140">
        <f t="shared" si="30"/>
        <v>10633</v>
      </c>
      <c r="AA191" s="139">
        <f>AA184+AA190</f>
        <v>585</v>
      </c>
      <c r="AB191" s="142">
        <f>AB184+AB190</f>
        <v>666601</v>
      </c>
      <c r="AC191" s="143">
        <f t="shared" si="30"/>
        <v>1092</v>
      </c>
      <c r="AD191" s="144">
        <f t="shared" si="30"/>
        <v>112680.25</v>
      </c>
      <c r="AE191" s="144">
        <f t="shared" si="30"/>
        <v>486</v>
      </c>
      <c r="AF191" s="144" t="e">
        <f t="shared" si="30"/>
        <v>#REF!</v>
      </c>
      <c r="AG191" s="144">
        <f t="shared" si="30"/>
        <v>2658</v>
      </c>
      <c r="AH191" s="144" t="e">
        <f t="shared" si="30"/>
        <v>#REF!</v>
      </c>
      <c r="AI191" s="145">
        <f t="shared" si="30"/>
        <v>591</v>
      </c>
      <c r="AJ191" s="145">
        <f t="shared" si="30"/>
        <v>0</v>
      </c>
      <c r="AK191" s="120">
        <f t="shared" si="27"/>
        <v>674497.25</v>
      </c>
    </row>
    <row r="192" spans="1:37" s="147" customFormat="1" ht="14.25" thickBot="1" x14ac:dyDescent="0.3">
      <c r="A192" s="135"/>
      <c r="B192" s="675" t="s">
        <v>130</v>
      </c>
      <c r="C192" s="676"/>
      <c r="D192" s="677"/>
      <c r="E192" s="139"/>
      <c r="F192" s="139"/>
      <c r="G192" s="139"/>
      <c r="H192" s="140"/>
      <c r="I192" s="140"/>
      <c r="J192" s="140"/>
      <c r="K192" s="139"/>
      <c r="L192" s="141"/>
      <c r="M192" s="141"/>
      <c r="N192" s="141"/>
      <c r="O192" s="141"/>
      <c r="P192" s="141"/>
      <c r="Q192" s="141"/>
      <c r="R192" s="141"/>
      <c r="S192" s="140"/>
      <c r="T192" s="139"/>
      <c r="U192" s="139"/>
      <c r="V192" s="140"/>
      <c r="W192" s="139"/>
      <c r="X192" s="139"/>
      <c r="Y192" s="139"/>
      <c r="Z192" s="140"/>
      <c r="AA192" s="139"/>
      <c r="AB192" s="142"/>
      <c r="AC192" s="86"/>
      <c r="AD192" s="86"/>
      <c r="AE192" s="86"/>
      <c r="AF192" s="86"/>
      <c r="AG192" s="86"/>
      <c r="AH192" s="86"/>
      <c r="AI192" s="86"/>
      <c r="AJ192" s="155"/>
      <c r="AK192" s="120"/>
    </row>
    <row r="193" spans="1:39" s="147" customFormat="1" ht="13.5" x14ac:dyDescent="0.25">
      <c r="A193" s="111">
        <v>1</v>
      </c>
      <c r="B193" s="692" t="s">
        <v>150</v>
      </c>
      <c r="C193" s="692"/>
      <c r="D193" s="692"/>
      <c r="E193" s="190"/>
      <c r="F193" s="190"/>
      <c r="G193" s="190"/>
      <c r="H193" s="191"/>
      <c r="I193" s="191"/>
      <c r="J193" s="191"/>
      <c r="K193" s="190"/>
      <c r="L193" s="192"/>
      <c r="M193" s="192"/>
      <c r="N193" s="192"/>
      <c r="O193" s="192"/>
      <c r="P193" s="192"/>
      <c r="Q193" s="192"/>
      <c r="R193" s="192"/>
      <c r="S193" s="191"/>
      <c r="T193" s="190"/>
      <c r="U193" s="190"/>
      <c r="V193" s="114"/>
      <c r="W193" s="113"/>
      <c r="X193" s="113"/>
      <c r="Y193" s="113">
        <v>3373</v>
      </c>
      <c r="Z193" s="191"/>
      <c r="AA193" s="190"/>
      <c r="AB193" s="193"/>
      <c r="AC193" s="143"/>
      <c r="AD193" s="144"/>
      <c r="AE193" s="144"/>
      <c r="AF193" s="144"/>
      <c r="AG193" s="144"/>
      <c r="AH193" s="144"/>
      <c r="AI193" s="145"/>
      <c r="AJ193" s="145"/>
      <c r="AK193" s="120"/>
    </row>
    <row r="194" spans="1:39" s="147" customFormat="1" ht="13.5" x14ac:dyDescent="0.25">
      <c r="A194" s="121">
        <v>2</v>
      </c>
      <c r="B194" s="693" t="s">
        <v>151</v>
      </c>
      <c r="C194" s="693"/>
      <c r="D194" s="693"/>
      <c r="E194" s="194"/>
      <c r="F194" s="194"/>
      <c r="G194" s="194"/>
      <c r="H194" s="144"/>
      <c r="I194" s="144"/>
      <c r="J194" s="144"/>
      <c r="K194" s="194"/>
      <c r="L194" s="195"/>
      <c r="M194" s="195"/>
      <c r="N194" s="195"/>
      <c r="O194" s="195"/>
      <c r="P194" s="195"/>
      <c r="Q194" s="195"/>
      <c r="R194" s="195"/>
      <c r="S194" s="144"/>
      <c r="T194" s="194"/>
      <c r="U194" s="194"/>
      <c r="V194" s="118"/>
      <c r="W194" s="123"/>
      <c r="X194" s="123"/>
      <c r="Y194" s="123">
        <v>520</v>
      </c>
      <c r="Z194" s="144"/>
      <c r="AA194" s="194"/>
      <c r="AB194" s="196"/>
      <c r="AC194" s="143"/>
      <c r="AD194" s="144"/>
      <c r="AE194" s="144"/>
      <c r="AF194" s="144"/>
      <c r="AG194" s="144"/>
      <c r="AH194" s="144"/>
      <c r="AI194" s="145"/>
      <c r="AJ194" s="145"/>
      <c r="AK194" s="120"/>
    </row>
    <row r="195" spans="1:39" s="147" customFormat="1" ht="13.5" x14ac:dyDescent="0.25">
      <c r="A195" s="121">
        <v>3</v>
      </c>
      <c r="B195" s="693" t="s">
        <v>152</v>
      </c>
      <c r="C195" s="693"/>
      <c r="D195" s="693"/>
      <c r="E195" s="118"/>
      <c r="F195" s="194"/>
      <c r="G195" s="194"/>
      <c r="H195" s="144"/>
      <c r="I195" s="144"/>
      <c r="J195" s="144"/>
      <c r="K195" s="194"/>
      <c r="L195" s="195"/>
      <c r="M195" s="195"/>
      <c r="N195" s="195"/>
      <c r="O195" s="195"/>
      <c r="P195" s="195"/>
      <c r="Q195" s="195"/>
      <c r="R195" s="195"/>
      <c r="S195" s="144"/>
      <c r="T195" s="194"/>
      <c r="U195" s="194"/>
      <c r="V195" s="118"/>
      <c r="W195" s="123"/>
      <c r="X195" s="123"/>
      <c r="Y195" s="123">
        <v>6204</v>
      </c>
      <c r="Z195" s="144"/>
      <c r="AA195" s="194"/>
      <c r="AB195" s="196"/>
      <c r="AC195" s="143"/>
      <c r="AD195" s="144"/>
      <c r="AE195" s="144"/>
      <c r="AF195" s="144"/>
      <c r="AG195" s="144"/>
      <c r="AH195" s="144"/>
      <c r="AI195" s="145"/>
      <c r="AJ195" s="145"/>
      <c r="AK195" s="120"/>
    </row>
    <row r="196" spans="1:39" s="147" customFormat="1" ht="13.5" x14ac:dyDescent="0.25">
      <c r="A196" s="121">
        <v>4</v>
      </c>
      <c r="B196" s="693" t="s">
        <v>153</v>
      </c>
      <c r="C196" s="693"/>
      <c r="D196" s="693"/>
      <c r="E196" s="118"/>
      <c r="F196" s="194"/>
      <c r="G196" s="194"/>
      <c r="H196" s="144"/>
      <c r="I196" s="144"/>
      <c r="J196" s="144"/>
      <c r="K196" s="194"/>
      <c r="L196" s="195"/>
      <c r="M196" s="195"/>
      <c r="N196" s="195"/>
      <c r="O196" s="195"/>
      <c r="P196" s="195"/>
      <c r="Q196" s="195"/>
      <c r="R196" s="195"/>
      <c r="S196" s="144"/>
      <c r="T196" s="194"/>
      <c r="U196" s="194"/>
      <c r="V196" s="118"/>
      <c r="W196" s="123"/>
      <c r="X196" s="123"/>
      <c r="Y196" s="123">
        <v>25584</v>
      </c>
      <c r="Z196" s="144"/>
      <c r="AA196" s="194"/>
      <c r="AB196" s="196"/>
      <c r="AC196" s="143"/>
      <c r="AD196" s="144"/>
      <c r="AE196" s="144"/>
      <c r="AF196" s="144"/>
      <c r="AG196" s="144"/>
      <c r="AH196" s="144"/>
      <c r="AI196" s="145"/>
      <c r="AJ196" s="145"/>
      <c r="AK196" s="120"/>
    </row>
    <row r="197" spans="1:39" s="147" customFormat="1" ht="13.5" x14ac:dyDescent="0.25">
      <c r="A197" s="121">
        <v>5</v>
      </c>
      <c r="B197" s="693" t="s">
        <v>154</v>
      </c>
      <c r="C197" s="693"/>
      <c r="D197" s="693"/>
      <c r="E197" s="118"/>
      <c r="F197" s="194"/>
      <c r="G197" s="194"/>
      <c r="H197" s="144"/>
      <c r="I197" s="144"/>
      <c r="J197" s="144"/>
      <c r="K197" s="194"/>
      <c r="L197" s="195"/>
      <c r="M197" s="195"/>
      <c r="N197" s="195"/>
      <c r="O197" s="195"/>
      <c r="P197" s="195"/>
      <c r="Q197" s="195"/>
      <c r="R197" s="195"/>
      <c r="S197" s="144"/>
      <c r="T197" s="194"/>
      <c r="U197" s="194"/>
      <c r="V197" s="118"/>
      <c r="W197" s="123"/>
      <c r="X197" s="123"/>
      <c r="Y197" s="123">
        <v>44261</v>
      </c>
      <c r="Z197" s="144"/>
      <c r="AA197" s="194"/>
      <c r="AB197" s="196"/>
      <c r="AC197" s="143"/>
      <c r="AD197" s="144"/>
      <c r="AE197" s="144"/>
      <c r="AF197" s="144"/>
      <c r="AG197" s="144"/>
      <c r="AH197" s="144"/>
      <c r="AI197" s="145"/>
      <c r="AJ197" s="145"/>
      <c r="AK197" s="120"/>
    </row>
    <row r="198" spans="1:39" s="147" customFormat="1" ht="14.25" thickBot="1" x14ac:dyDescent="0.3">
      <c r="A198" s="129">
        <v>6</v>
      </c>
      <c r="B198" s="704" t="s">
        <v>155</v>
      </c>
      <c r="C198" s="704"/>
      <c r="D198" s="704"/>
      <c r="E198" s="98"/>
      <c r="F198" s="197"/>
      <c r="G198" s="197"/>
      <c r="H198" s="198"/>
      <c r="I198" s="198"/>
      <c r="J198" s="198"/>
      <c r="K198" s="197"/>
      <c r="L198" s="199"/>
      <c r="M198" s="199"/>
      <c r="N198" s="199"/>
      <c r="O198" s="199"/>
      <c r="P198" s="199"/>
      <c r="Q198" s="199"/>
      <c r="R198" s="199"/>
      <c r="S198" s="198"/>
      <c r="T198" s="197"/>
      <c r="U198" s="197"/>
      <c r="V198" s="98">
        <v>745</v>
      </c>
      <c r="W198" s="131"/>
      <c r="X198" s="131"/>
      <c r="Y198" s="131"/>
      <c r="Z198" s="198"/>
      <c r="AA198" s="197"/>
      <c r="AB198" s="200"/>
      <c r="AC198" s="143"/>
      <c r="AD198" s="144"/>
      <c r="AE198" s="144"/>
      <c r="AF198" s="144"/>
      <c r="AG198" s="144"/>
      <c r="AH198" s="144"/>
      <c r="AI198" s="145"/>
      <c r="AJ198" s="145"/>
      <c r="AK198" s="120"/>
    </row>
    <row r="199" spans="1:39" s="147" customFormat="1" ht="14.25" thickBot="1" x14ac:dyDescent="0.3">
      <c r="A199" s="135"/>
      <c r="B199" s="675" t="s">
        <v>132</v>
      </c>
      <c r="C199" s="676"/>
      <c r="D199" s="677"/>
      <c r="E199" s="139"/>
      <c r="F199" s="139"/>
      <c r="G199" s="139"/>
      <c r="H199" s="140"/>
      <c r="I199" s="140"/>
      <c r="J199" s="140"/>
      <c r="K199" s="139"/>
      <c r="L199" s="141"/>
      <c r="M199" s="141"/>
      <c r="N199" s="141"/>
      <c r="O199" s="141"/>
      <c r="P199" s="141"/>
      <c r="Q199" s="141"/>
      <c r="R199" s="141"/>
      <c r="S199" s="140"/>
      <c r="T199" s="139"/>
      <c r="U199" s="139"/>
      <c r="V199" s="140">
        <f>SUM(V193:V198)</f>
        <v>745</v>
      </c>
      <c r="W199" s="140">
        <f>SUM(W193:W198)</f>
        <v>0</v>
      </c>
      <c r="X199" s="140">
        <f>SUM(X193:X198)</f>
        <v>0</v>
      </c>
      <c r="Y199" s="140">
        <f>SUM(Y193:Y198)</f>
        <v>79942</v>
      </c>
      <c r="Z199" s="140"/>
      <c r="AA199" s="139"/>
      <c r="AB199" s="142">
        <f>V199+Y199</f>
        <v>80687</v>
      </c>
      <c r="AC199" s="143"/>
      <c r="AD199" s="144"/>
      <c r="AE199" s="144"/>
      <c r="AF199" s="144"/>
      <c r="AG199" s="144"/>
      <c r="AH199" s="144"/>
      <c r="AI199" s="145"/>
      <c r="AJ199" s="145"/>
      <c r="AK199" s="120"/>
    </row>
    <row r="200" spans="1:39" s="147" customFormat="1" ht="14.25" thickBot="1" x14ac:dyDescent="0.3">
      <c r="A200" s="705" t="s">
        <v>124</v>
      </c>
      <c r="B200" s="706"/>
      <c r="C200" s="706"/>
      <c r="D200" s="706"/>
      <c r="E200" s="201"/>
      <c r="F200" s="139">
        <f>G200+H200+I200+J200</f>
        <v>1144</v>
      </c>
      <c r="G200" s="139">
        <f>1144</f>
        <v>1144</v>
      </c>
      <c r="H200" s="140"/>
      <c r="I200" s="140"/>
      <c r="J200" s="140"/>
      <c r="K200" s="152">
        <f t="shared" si="24"/>
        <v>1144</v>
      </c>
      <c r="L200" s="154">
        <f t="shared" si="21"/>
        <v>0</v>
      </c>
      <c r="M200" s="154">
        <f t="shared" si="21"/>
        <v>0</v>
      </c>
      <c r="N200" s="154">
        <f t="shared" si="21"/>
        <v>0</v>
      </c>
      <c r="O200" s="154">
        <f t="shared" si="22"/>
        <v>1144</v>
      </c>
      <c r="P200" s="154">
        <f t="shared" si="23"/>
        <v>0</v>
      </c>
      <c r="Q200" s="154">
        <f t="shared" si="23"/>
        <v>0</v>
      </c>
      <c r="R200" s="154">
        <f t="shared" si="23"/>
        <v>0</v>
      </c>
      <c r="S200" s="153">
        <f t="shared" si="25"/>
        <v>0</v>
      </c>
      <c r="T200" s="139"/>
      <c r="U200" s="139"/>
      <c r="V200" s="140">
        <f>3300</f>
        <v>3300</v>
      </c>
      <c r="W200" s="139"/>
      <c r="X200" s="139"/>
      <c r="Y200" s="139">
        <f>221+174</f>
        <v>395</v>
      </c>
      <c r="Z200" s="140">
        <v>7238</v>
      </c>
      <c r="AA200" s="139"/>
      <c r="AB200" s="142">
        <f>F200+V200+Y200+Z200</f>
        <v>12077</v>
      </c>
      <c r="AC200" s="143"/>
      <c r="AD200" s="144"/>
      <c r="AE200" s="144"/>
      <c r="AF200" s="144"/>
      <c r="AG200" s="144"/>
      <c r="AH200" s="144"/>
      <c r="AI200" s="145"/>
      <c r="AJ200" s="145"/>
      <c r="AK200" s="120"/>
    </row>
    <row r="201" spans="1:39" s="147" customFormat="1" ht="14.25" thickBot="1" x14ac:dyDescent="0.3">
      <c r="A201" s="702" t="s">
        <v>156</v>
      </c>
      <c r="B201" s="703"/>
      <c r="C201" s="703"/>
      <c r="D201" s="703"/>
      <c r="E201" s="139">
        <f>E191+E199-E200</f>
        <v>18529.250000000007</v>
      </c>
      <c r="F201" s="139">
        <f t="shared" ref="F201:AA201" si="31">F191+F199-F200</f>
        <v>182926.24999999997</v>
      </c>
      <c r="G201" s="139">
        <f t="shared" si="31"/>
        <v>42330.25</v>
      </c>
      <c r="H201" s="140">
        <f t="shared" si="31"/>
        <v>19091</v>
      </c>
      <c r="I201" s="140">
        <f t="shared" si="31"/>
        <v>67914</v>
      </c>
      <c r="J201" s="140">
        <f t="shared" si="31"/>
        <v>53591</v>
      </c>
      <c r="K201" s="139">
        <f t="shared" si="31"/>
        <v>42330.25</v>
      </c>
      <c r="L201" s="139">
        <f t="shared" si="31"/>
        <v>9545.5</v>
      </c>
      <c r="M201" s="139">
        <f t="shared" si="31"/>
        <v>33957</v>
      </c>
      <c r="N201" s="141">
        <f t="shared" si="31"/>
        <v>26795.5</v>
      </c>
      <c r="O201" s="139">
        <f t="shared" si="31"/>
        <v>112628.25</v>
      </c>
      <c r="P201" s="139">
        <f t="shared" si="31"/>
        <v>9545.5</v>
      </c>
      <c r="Q201" s="140">
        <f t="shared" si="31"/>
        <v>33957</v>
      </c>
      <c r="R201" s="141">
        <f t="shared" si="31"/>
        <v>26795.5</v>
      </c>
      <c r="S201" s="140">
        <f t="shared" si="31"/>
        <v>70298</v>
      </c>
      <c r="T201" s="139">
        <f t="shared" si="31"/>
        <v>21949</v>
      </c>
      <c r="U201" s="139">
        <f t="shared" si="31"/>
        <v>0</v>
      </c>
      <c r="V201" s="140">
        <f t="shared" si="31"/>
        <v>19249</v>
      </c>
      <c r="W201" s="139">
        <f t="shared" si="31"/>
        <v>468478</v>
      </c>
      <c r="X201" s="139">
        <f t="shared" si="31"/>
        <v>0</v>
      </c>
      <c r="Y201" s="139">
        <f t="shared" si="31"/>
        <v>529640.75</v>
      </c>
      <c r="Z201" s="140">
        <f t="shared" si="31"/>
        <v>3395</v>
      </c>
      <c r="AA201" s="139">
        <f t="shared" si="31"/>
        <v>585</v>
      </c>
      <c r="AB201" s="142">
        <f>AB191+AB199-AB200</f>
        <v>735211</v>
      </c>
      <c r="AC201" s="143"/>
      <c r="AD201" s="144"/>
      <c r="AE201" s="144"/>
      <c r="AF201" s="144"/>
      <c r="AG201" s="144"/>
      <c r="AH201" s="144"/>
      <c r="AI201" s="145"/>
      <c r="AJ201" s="145"/>
      <c r="AK201" s="120"/>
    </row>
    <row r="202" spans="1:39" s="147" customFormat="1" ht="14.25" thickBot="1" x14ac:dyDescent="0.3">
      <c r="A202" s="202"/>
      <c r="B202" s="157"/>
      <c r="C202" s="157"/>
      <c r="D202" s="157"/>
      <c r="E202" s="59"/>
      <c r="F202" s="59"/>
      <c r="G202" s="59"/>
      <c r="H202" s="86"/>
      <c r="I202" s="86"/>
      <c r="J202" s="86"/>
      <c r="K202" s="59"/>
      <c r="L202" s="88"/>
      <c r="M202" s="88"/>
      <c r="N202" s="88"/>
      <c r="O202" s="88"/>
      <c r="P202" s="88"/>
      <c r="Q202" s="88"/>
      <c r="R202" s="88"/>
      <c r="S202" s="86"/>
      <c r="T202" s="59"/>
      <c r="U202" s="59"/>
      <c r="V202" s="86"/>
      <c r="W202" s="59"/>
      <c r="X202" s="59"/>
      <c r="Y202" s="59"/>
      <c r="Z202" s="86"/>
      <c r="AA202" s="59"/>
      <c r="AB202" s="86"/>
      <c r="AC202" s="86"/>
      <c r="AD202" s="86"/>
      <c r="AE202" s="86"/>
      <c r="AF202" s="86"/>
      <c r="AG202" s="86"/>
      <c r="AH202" s="86"/>
      <c r="AI202" s="86"/>
      <c r="AJ202" s="155"/>
      <c r="AK202" s="120"/>
    </row>
    <row r="203" spans="1:39" s="109" customFormat="1" ht="14.25" thickBot="1" x14ac:dyDescent="0.3">
      <c r="A203" s="159"/>
      <c r="B203" s="150" t="s">
        <v>157</v>
      </c>
      <c r="C203" s="150"/>
      <c r="D203" s="150"/>
      <c r="E203" s="105"/>
      <c r="F203" s="105"/>
      <c r="G203" s="105"/>
      <c r="H203" s="106"/>
      <c r="I203" s="106"/>
      <c r="J203" s="106"/>
      <c r="K203" s="105"/>
      <c r="L203" s="107"/>
      <c r="M203" s="107"/>
      <c r="N203" s="107"/>
      <c r="O203" s="107"/>
      <c r="P203" s="107"/>
      <c r="Q203" s="107"/>
      <c r="R203" s="107"/>
      <c r="S203" s="106"/>
      <c r="T203" s="105"/>
      <c r="U203" s="105"/>
      <c r="V203" s="106"/>
      <c r="W203" s="105"/>
      <c r="X203" s="105"/>
      <c r="Y203" s="105"/>
      <c r="Z203" s="106"/>
      <c r="AA203" s="105"/>
      <c r="AB203" s="108"/>
      <c r="AC203" s="76"/>
      <c r="AD203" s="76"/>
      <c r="AE203" s="76"/>
      <c r="AF203" s="76"/>
      <c r="AG203" s="76"/>
      <c r="AH203" s="76"/>
      <c r="AI203" s="76"/>
      <c r="AK203" s="120">
        <f t="shared" ref="AK203:AK233" si="32">O203+S203+T203+W203</f>
        <v>0</v>
      </c>
    </row>
    <row r="204" spans="1:39" s="109" customFormat="1" ht="13.5" x14ac:dyDescent="0.25">
      <c r="A204" s="111">
        <v>1</v>
      </c>
      <c r="B204" s="112" t="s">
        <v>158</v>
      </c>
      <c r="C204" s="112">
        <v>2</v>
      </c>
      <c r="D204" s="112">
        <v>1</v>
      </c>
      <c r="E204" s="113"/>
      <c r="F204" s="123">
        <f>481+28</f>
        <v>509</v>
      </c>
      <c r="G204" s="113">
        <v>105</v>
      </c>
      <c r="H204" s="114">
        <v>250</v>
      </c>
      <c r="I204" s="114">
        <v>154</v>
      </c>
      <c r="J204" s="114">
        <v>0</v>
      </c>
      <c r="K204" s="113">
        <f>G204</f>
        <v>105</v>
      </c>
      <c r="L204" s="115">
        <f>H204/2</f>
        <v>125</v>
      </c>
      <c r="M204" s="115">
        <f>I204/2</f>
        <v>77</v>
      </c>
      <c r="N204" s="115">
        <f>J204/2</f>
        <v>0</v>
      </c>
      <c r="O204" s="115">
        <f>K204+L204+M204+N204</f>
        <v>307</v>
      </c>
      <c r="P204" s="115">
        <f>H204/2</f>
        <v>125</v>
      </c>
      <c r="Q204" s="115">
        <f>I204/2</f>
        <v>77</v>
      </c>
      <c r="R204" s="115">
        <f>J204/2</f>
        <v>0</v>
      </c>
      <c r="S204" s="114">
        <f>P204+Q204+R204</f>
        <v>202</v>
      </c>
      <c r="T204" s="113"/>
      <c r="U204" s="113"/>
      <c r="V204" s="118">
        <v>0</v>
      </c>
      <c r="W204" s="123" t="e">
        <f>'[1]убор.пл. ф-8 сост. 01.01.11 г.'!S221+'[1]убор.пл. ф-8 сост. 01.01.11 г.'!W221+'[1]убор.пл. ф-8 сост. 01.01.11 г.'!AC221+'[1]убор.пл. ф-8 сост. 01.01.11 г.'!AD221</f>
        <v>#REF!</v>
      </c>
      <c r="X204" s="123"/>
      <c r="Y204" s="123">
        <v>3055</v>
      </c>
      <c r="Z204" s="118">
        <v>0</v>
      </c>
      <c r="AA204" s="123"/>
      <c r="AB204" s="118">
        <v>3564</v>
      </c>
      <c r="AC204" s="117"/>
      <c r="AD204" s="118">
        <f t="shared" ref="AD204:AD219" si="33">O204-AC204</f>
        <v>307</v>
      </c>
      <c r="AE204" s="118"/>
      <c r="AF204" s="118" t="e">
        <f>#REF!-AE204</f>
        <v>#REF!</v>
      </c>
      <c r="AG204" s="118"/>
      <c r="AH204" s="118" t="e">
        <f>#REF!-AG204</f>
        <v>#REF!</v>
      </c>
      <c r="AI204" s="118"/>
      <c r="AJ204" s="118"/>
      <c r="AK204" s="120" t="e">
        <f t="shared" si="32"/>
        <v>#REF!</v>
      </c>
      <c r="AL204" s="109">
        <f>IF(M204=Q204,0,"А")</f>
        <v>0</v>
      </c>
      <c r="AM204" s="109">
        <f>IF(N204=R204,0,"А")</f>
        <v>0</v>
      </c>
    </row>
    <row r="205" spans="1:39" s="109" customFormat="1" ht="13.5" x14ac:dyDescent="0.25">
      <c r="A205" s="121">
        <v>2</v>
      </c>
      <c r="B205" s="122" t="s">
        <v>158</v>
      </c>
      <c r="C205" s="122">
        <v>2</v>
      </c>
      <c r="D205" s="122">
        <v>2</v>
      </c>
      <c r="E205" s="123">
        <f>188.68</f>
        <v>188.68</v>
      </c>
      <c r="F205" s="123">
        <f>1624+E205</f>
        <v>1812.68</v>
      </c>
      <c r="G205" s="123">
        <v>566.67999999999995</v>
      </c>
      <c r="H205" s="118">
        <v>296</v>
      </c>
      <c r="I205" s="118">
        <v>557</v>
      </c>
      <c r="J205" s="118">
        <v>393</v>
      </c>
      <c r="K205" s="113">
        <f t="shared" ref="K205:K268" si="34">G205</f>
        <v>566.67999999999995</v>
      </c>
      <c r="L205" s="115">
        <f t="shared" ref="L205:N268" si="35">H205/2</f>
        <v>148</v>
      </c>
      <c r="M205" s="115">
        <f t="shared" si="35"/>
        <v>278.5</v>
      </c>
      <c r="N205" s="115">
        <f t="shared" si="35"/>
        <v>196.5</v>
      </c>
      <c r="O205" s="115">
        <f t="shared" ref="O205:O218" si="36">K205+L205+M205+N205</f>
        <v>1189.6799999999998</v>
      </c>
      <c r="P205" s="115">
        <f t="shared" ref="P205:R218" si="37">H205/2</f>
        <v>148</v>
      </c>
      <c r="Q205" s="115">
        <f t="shared" si="37"/>
        <v>278.5</v>
      </c>
      <c r="R205" s="115">
        <f t="shared" si="37"/>
        <v>196.5</v>
      </c>
      <c r="S205" s="114">
        <f t="shared" ref="S205:S268" si="38">P205+Q205+R205</f>
        <v>623</v>
      </c>
      <c r="T205" s="123"/>
      <c r="U205" s="123"/>
      <c r="V205" s="118">
        <v>310</v>
      </c>
      <c r="W205" s="123" t="e">
        <f>'[1]убор.пл. ф-8 сост. 01.01.11 г.'!S222+'[1]убор.пл. ф-8 сост. 01.01.11 г.'!W222+'[1]убор.пл. ф-8 сост. 01.01.11 г.'!AC222+'[1]убор.пл. ф-8 сост. 01.01.11 г.'!AD222</f>
        <v>#REF!</v>
      </c>
      <c r="X205" s="123">
        <v>1088</v>
      </c>
      <c r="Y205" s="123">
        <f>4253-E205</f>
        <v>4064.32</v>
      </c>
      <c r="Z205" s="118">
        <v>0</v>
      </c>
      <c r="AA205" s="123">
        <v>28</v>
      </c>
      <c r="AB205" s="118">
        <v>6187</v>
      </c>
      <c r="AC205" s="117"/>
      <c r="AD205" s="118">
        <f t="shared" si="33"/>
        <v>1189.6799999999998</v>
      </c>
      <c r="AE205" s="118"/>
      <c r="AF205" s="118" t="e">
        <f>#REF!-AE205</f>
        <v>#REF!</v>
      </c>
      <c r="AG205" s="118"/>
      <c r="AH205" s="118" t="e">
        <f>#REF!-AG205</f>
        <v>#REF!</v>
      </c>
      <c r="AI205" s="118">
        <v>28</v>
      </c>
      <c r="AJ205" s="128"/>
      <c r="AK205" s="120" t="e">
        <f t="shared" si="32"/>
        <v>#REF!</v>
      </c>
      <c r="AL205" s="109">
        <f t="shared" ref="AL205:AM268" si="39">IF(M205=Q205,0,"А")</f>
        <v>0</v>
      </c>
      <c r="AM205" s="109">
        <f t="shared" si="39"/>
        <v>0</v>
      </c>
    </row>
    <row r="206" spans="1:39" s="109" customFormat="1" ht="13.5" x14ac:dyDescent="0.25">
      <c r="A206" s="121">
        <v>3</v>
      </c>
      <c r="B206" s="122" t="s">
        <v>158</v>
      </c>
      <c r="C206" s="122">
        <v>3</v>
      </c>
      <c r="D206" s="122"/>
      <c r="E206" s="123"/>
      <c r="F206" s="123">
        <v>796</v>
      </c>
      <c r="G206" s="123">
        <v>201</v>
      </c>
      <c r="H206" s="118">
        <v>85</v>
      </c>
      <c r="I206" s="118">
        <v>140</v>
      </c>
      <c r="J206" s="118">
        <v>370</v>
      </c>
      <c r="K206" s="113">
        <f t="shared" si="34"/>
        <v>201</v>
      </c>
      <c r="L206" s="115">
        <f t="shared" si="35"/>
        <v>42.5</v>
      </c>
      <c r="M206" s="115">
        <f t="shared" si="35"/>
        <v>70</v>
      </c>
      <c r="N206" s="115">
        <f t="shared" si="35"/>
        <v>185</v>
      </c>
      <c r="O206" s="115">
        <f t="shared" si="36"/>
        <v>498.5</v>
      </c>
      <c r="P206" s="115">
        <f t="shared" si="37"/>
        <v>42.5</v>
      </c>
      <c r="Q206" s="115">
        <f t="shared" si="37"/>
        <v>70</v>
      </c>
      <c r="R206" s="115">
        <f t="shared" si="37"/>
        <v>185</v>
      </c>
      <c r="S206" s="114">
        <f t="shared" si="38"/>
        <v>297.5</v>
      </c>
      <c r="T206" s="123"/>
      <c r="U206" s="123"/>
      <c r="V206" s="118">
        <v>340</v>
      </c>
      <c r="W206" s="123" t="e">
        <f>'[1]убор.пл. ф-8 сост. 01.01.11 г.'!S223+'[1]убор.пл. ф-8 сост. 01.01.11 г.'!W223+'[1]убор.пл. ф-8 сост. 01.01.11 г.'!AC223+'[1]убор.пл. ф-8 сост. 01.01.11 г.'!AD223</f>
        <v>#REF!</v>
      </c>
      <c r="X206" s="123"/>
      <c r="Y206" s="123">
        <v>4378</v>
      </c>
      <c r="Z206" s="118">
        <v>0</v>
      </c>
      <c r="AA206" s="123"/>
      <c r="AB206" s="118">
        <v>5514</v>
      </c>
      <c r="AC206" s="117"/>
      <c r="AD206" s="118">
        <f t="shared" si="33"/>
        <v>498.5</v>
      </c>
      <c r="AE206" s="118"/>
      <c r="AF206" s="118" t="e">
        <f>#REF!-AE206</f>
        <v>#REF!</v>
      </c>
      <c r="AG206" s="128">
        <v>24</v>
      </c>
      <c r="AH206" s="118" t="e">
        <f>#REF!-AG206</f>
        <v>#REF!</v>
      </c>
      <c r="AI206" s="118"/>
      <c r="AJ206" s="118"/>
      <c r="AK206" s="120" t="e">
        <f t="shared" si="32"/>
        <v>#REF!</v>
      </c>
      <c r="AL206" s="109">
        <f t="shared" si="39"/>
        <v>0</v>
      </c>
      <c r="AM206" s="109">
        <f t="shared" si="39"/>
        <v>0</v>
      </c>
    </row>
    <row r="207" spans="1:39" s="109" customFormat="1" ht="13.5" x14ac:dyDescent="0.25">
      <c r="A207" s="121">
        <v>4</v>
      </c>
      <c r="B207" s="122" t="s">
        <v>158</v>
      </c>
      <c r="C207" s="122">
        <v>4</v>
      </c>
      <c r="D207" s="122">
        <v>1</v>
      </c>
      <c r="E207" s="123"/>
      <c r="F207" s="123">
        <f>262+24</f>
        <v>286</v>
      </c>
      <c r="G207" s="123">
        <v>105</v>
      </c>
      <c r="H207" s="118">
        <v>145</v>
      </c>
      <c r="I207" s="118">
        <v>36</v>
      </c>
      <c r="J207" s="118">
        <v>0</v>
      </c>
      <c r="K207" s="113">
        <f t="shared" si="34"/>
        <v>105</v>
      </c>
      <c r="L207" s="115">
        <f t="shared" si="35"/>
        <v>72.5</v>
      </c>
      <c r="M207" s="115">
        <f t="shared" si="35"/>
        <v>18</v>
      </c>
      <c r="N207" s="115">
        <f t="shared" si="35"/>
        <v>0</v>
      </c>
      <c r="O207" s="115">
        <f t="shared" si="36"/>
        <v>195.5</v>
      </c>
      <c r="P207" s="115">
        <f t="shared" si="37"/>
        <v>72.5</v>
      </c>
      <c r="Q207" s="115">
        <f t="shared" si="37"/>
        <v>18</v>
      </c>
      <c r="R207" s="115">
        <f t="shared" si="37"/>
        <v>0</v>
      </c>
      <c r="S207" s="114">
        <f t="shared" si="38"/>
        <v>90.5</v>
      </c>
      <c r="T207" s="123"/>
      <c r="U207" s="123"/>
      <c r="V207" s="118">
        <v>0</v>
      </c>
      <c r="W207" s="123" t="e">
        <f>'[1]убор.пл. ф-8 сост. 01.01.11 г.'!S224+'[1]убор.пл. ф-8 сост. 01.01.11 г.'!W224+'[1]убор.пл. ф-8 сост. 01.01.11 г.'!AC224+'[1]убор.пл. ф-8 сост. 01.01.11 г.'!AD224</f>
        <v>#REF!</v>
      </c>
      <c r="X207" s="123"/>
      <c r="Y207" s="123">
        <v>1465</v>
      </c>
      <c r="Z207" s="118">
        <v>0</v>
      </c>
      <c r="AA207" s="123"/>
      <c r="AB207" s="118">
        <v>1751</v>
      </c>
      <c r="AC207" s="117"/>
      <c r="AD207" s="118">
        <f t="shared" si="33"/>
        <v>195.5</v>
      </c>
      <c r="AE207" s="118"/>
      <c r="AF207" s="118" t="e">
        <f>#REF!-AE207</f>
        <v>#REF!</v>
      </c>
      <c r="AG207" s="118"/>
      <c r="AH207" s="118" t="e">
        <f>#REF!-AG207</f>
        <v>#REF!</v>
      </c>
      <c r="AI207" s="118"/>
      <c r="AJ207" s="118"/>
      <c r="AK207" s="120" t="e">
        <f t="shared" si="32"/>
        <v>#REF!</v>
      </c>
      <c r="AL207" s="109">
        <f t="shared" si="39"/>
        <v>0</v>
      </c>
      <c r="AM207" s="109">
        <f t="shared" si="39"/>
        <v>0</v>
      </c>
    </row>
    <row r="208" spans="1:39" s="109" customFormat="1" ht="13.5" x14ac:dyDescent="0.25">
      <c r="A208" s="121">
        <v>5</v>
      </c>
      <c r="B208" s="122" t="s">
        <v>158</v>
      </c>
      <c r="C208" s="122">
        <v>4</v>
      </c>
      <c r="D208" s="122">
        <v>2</v>
      </c>
      <c r="E208" s="123"/>
      <c r="F208" s="123">
        <v>2365</v>
      </c>
      <c r="G208" s="123">
        <v>462</v>
      </c>
      <c r="H208" s="118">
        <v>430</v>
      </c>
      <c r="I208" s="118">
        <v>441</v>
      </c>
      <c r="J208" s="118">
        <v>1032</v>
      </c>
      <c r="K208" s="113">
        <f t="shared" si="34"/>
        <v>462</v>
      </c>
      <c r="L208" s="115">
        <f t="shared" si="35"/>
        <v>215</v>
      </c>
      <c r="M208" s="115">
        <f t="shared" si="35"/>
        <v>220.5</v>
      </c>
      <c r="N208" s="115">
        <f t="shared" si="35"/>
        <v>516</v>
      </c>
      <c r="O208" s="115">
        <f t="shared" si="36"/>
        <v>1413.5</v>
      </c>
      <c r="P208" s="115">
        <f t="shared" si="37"/>
        <v>215</v>
      </c>
      <c r="Q208" s="115">
        <f t="shared" si="37"/>
        <v>220.5</v>
      </c>
      <c r="R208" s="115">
        <f t="shared" si="37"/>
        <v>516</v>
      </c>
      <c r="S208" s="114">
        <f t="shared" si="38"/>
        <v>951.5</v>
      </c>
      <c r="T208" s="123"/>
      <c r="U208" s="123"/>
      <c r="V208" s="118">
        <v>312</v>
      </c>
      <c r="W208" s="123" t="e">
        <f>'[1]убор.пл. ф-8 сост. 01.01.11 г.'!S225+'[1]убор.пл. ф-8 сост. 01.01.11 г.'!W225+'[1]убор.пл. ф-8 сост. 01.01.11 г.'!AC225+'[1]убор.пл. ф-8 сост. 01.01.11 г.'!AD225</f>
        <v>#REF!</v>
      </c>
      <c r="X208" s="123">
        <v>1087</v>
      </c>
      <c r="Y208" s="123">
        <v>5074</v>
      </c>
      <c r="Z208" s="118">
        <v>0</v>
      </c>
      <c r="AA208" s="123"/>
      <c r="AB208" s="118">
        <v>7751</v>
      </c>
      <c r="AC208" s="117"/>
      <c r="AD208" s="118">
        <f t="shared" si="33"/>
        <v>1413.5</v>
      </c>
      <c r="AE208" s="118"/>
      <c r="AF208" s="118" t="e">
        <f>#REF!-AE208</f>
        <v>#REF!</v>
      </c>
      <c r="AG208" s="128">
        <v>12</v>
      </c>
      <c r="AH208" s="118" t="e">
        <f>#REF!-AG208</f>
        <v>#REF!</v>
      </c>
      <c r="AI208" s="118"/>
      <c r="AJ208" s="118"/>
      <c r="AK208" s="120" t="e">
        <f t="shared" si="32"/>
        <v>#REF!</v>
      </c>
      <c r="AL208" s="109">
        <f t="shared" si="39"/>
        <v>0</v>
      </c>
      <c r="AM208" s="109">
        <f t="shared" si="39"/>
        <v>0</v>
      </c>
    </row>
    <row r="209" spans="1:39" s="109" customFormat="1" ht="13.5" x14ac:dyDescent="0.25">
      <c r="A209" s="121">
        <v>6</v>
      </c>
      <c r="B209" s="122" t="s">
        <v>158</v>
      </c>
      <c r="C209" s="122">
        <v>4</v>
      </c>
      <c r="D209" s="122">
        <v>3</v>
      </c>
      <c r="E209" s="123"/>
      <c r="F209" s="123">
        <v>1394</v>
      </c>
      <c r="G209" s="123">
        <v>336</v>
      </c>
      <c r="H209" s="118">
        <v>52</v>
      </c>
      <c r="I209" s="118">
        <v>380</v>
      </c>
      <c r="J209" s="118">
        <v>626</v>
      </c>
      <c r="K209" s="113">
        <f t="shared" si="34"/>
        <v>336</v>
      </c>
      <c r="L209" s="115">
        <f t="shared" si="35"/>
        <v>26</v>
      </c>
      <c r="M209" s="115">
        <f t="shared" si="35"/>
        <v>190</v>
      </c>
      <c r="N209" s="115">
        <f t="shared" si="35"/>
        <v>313</v>
      </c>
      <c r="O209" s="115">
        <f t="shared" si="36"/>
        <v>865</v>
      </c>
      <c r="P209" s="115">
        <f t="shared" si="37"/>
        <v>26</v>
      </c>
      <c r="Q209" s="115">
        <f t="shared" si="37"/>
        <v>190</v>
      </c>
      <c r="R209" s="115">
        <f t="shared" si="37"/>
        <v>313</v>
      </c>
      <c r="S209" s="114">
        <f t="shared" si="38"/>
        <v>529</v>
      </c>
      <c r="T209" s="123"/>
      <c r="U209" s="123"/>
      <c r="V209" s="118">
        <v>0</v>
      </c>
      <c r="W209" s="123" t="e">
        <f>'[1]убор.пл. ф-8 сост. 01.01.11 г.'!S226+'[1]убор.пл. ф-8 сост. 01.01.11 г.'!W226+'[1]убор.пл. ф-8 сост. 01.01.11 г.'!AC226+'[1]убор.пл. ф-8 сост. 01.01.11 г.'!AD226</f>
        <v>#REF!</v>
      </c>
      <c r="X209" s="123"/>
      <c r="Y209" s="123">
        <v>2891</v>
      </c>
      <c r="Z209" s="118">
        <v>0</v>
      </c>
      <c r="AA209" s="123"/>
      <c r="AB209" s="118">
        <v>4285</v>
      </c>
      <c r="AC209" s="117"/>
      <c r="AD209" s="118">
        <f t="shared" si="33"/>
        <v>865</v>
      </c>
      <c r="AE209" s="118"/>
      <c r="AF209" s="118" t="e">
        <f>#REF!-AE209</f>
        <v>#REF!</v>
      </c>
      <c r="AG209" s="118"/>
      <c r="AH209" s="118" t="e">
        <f>#REF!-AG209</f>
        <v>#REF!</v>
      </c>
      <c r="AI209" s="118"/>
      <c r="AJ209" s="118"/>
      <c r="AK209" s="120" t="e">
        <f t="shared" si="32"/>
        <v>#REF!</v>
      </c>
      <c r="AL209" s="109">
        <f t="shared" si="39"/>
        <v>0</v>
      </c>
      <c r="AM209" s="109">
        <f t="shared" si="39"/>
        <v>0</v>
      </c>
    </row>
    <row r="210" spans="1:39" s="109" customFormat="1" ht="13.5" x14ac:dyDescent="0.25">
      <c r="A210" s="121">
        <v>7</v>
      </c>
      <c r="B210" s="122" t="s">
        <v>158</v>
      </c>
      <c r="C210" s="122">
        <v>5</v>
      </c>
      <c r="D210" s="122">
        <v>1</v>
      </c>
      <c r="E210" s="123"/>
      <c r="F210" s="123">
        <v>665</v>
      </c>
      <c r="G210" s="123">
        <v>192</v>
      </c>
      <c r="H210" s="118">
        <v>176</v>
      </c>
      <c r="I210" s="118">
        <v>68</v>
      </c>
      <c r="J210" s="118">
        <v>229</v>
      </c>
      <c r="K210" s="113">
        <f t="shared" si="34"/>
        <v>192</v>
      </c>
      <c r="L210" s="115">
        <f t="shared" si="35"/>
        <v>88</v>
      </c>
      <c r="M210" s="115">
        <f t="shared" si="35"/>
        <v>34</v>
      </c>
      <c r="N210" s="115">
        <f t="shared" si="35"/>
        <v>114.5</v>
      </c>
      <c r="O210" s="115">
        <f t="shared" si="36"/>
        <v>428.5</v>
      </c>
      <c r="P210" s="115">
        <f t="shared" si="37"/>
        <v>88</v>
      </c>
      <c r="Q210" s="115">
        <f t="shared" si="37"/>
        <v>34</v>
      </c>
      <c r="R210" s="115">
        <f t="shared" si="37"/>
        <v>114.5</v>
      </c>
      <c r="S210" s="114">
        <f t="shared" si="38"/>
        <v>236.5</v>
      </c>
      <c r="T210" s="123"/>
      <c r="U210" s="123"/>
      <c r="V210" s="118">
        <v>45</v>
      </c>
      <c r="W210" s="123" t="e">
        <f>'[1]убор.пл. ф-8 сост. 01.01.11 г.'!S227+'[1]убор.пл. ф-8 сост. 01.01.11 г.'!W227+'[1]убор.пл. ф-8 сост. 01.01.11 г.'!AC227+'[1]убор.пл. ф-8 сост. 01.01.11 г.'!AD227</f>
        <v>#REF!</v>
      </c>
      <c r="X210" s="123"/>
      <c r="Y210" s="123">
        <v>1169</v>
      </c>
      <c r="Z210" s="118">
        <v>0</v>
      </c>
      <c r="AA210" s="123"/>
      <c r="AB210" s="118">
        <v>1879</v>
      </c>
      <c r="AC210" s="117"/>
      <c r="AD210" s="118">
        <f t="shared" si="33"/>
        <v>428.5</v>
      </c>
      <c r="AE210" s="118"/>
      <c r="AF210" s="118" t="e">
        <f>#REF!-AE210</f>
        <v>#REF!</v>
      </c>
      <c r="AG210" s="118"/>
      <c r="AH210" s="118" t="e">
        <f>#REF!-AG210</f>
        <v>#REF!</v>
      </c>
      <c r="AI210" s="118"/>
      <c r="AJ210" s="118"/>
      <c r="AK210" s="120" t="e">
        <f t="shared" si="32"/>
        <v>#REF!</v>
      </c>
      <c r="AL210" s="109">
        <f t="shared" si="39"/>
        <v>0</v>
      </c>
      <c r="AM210" s="109">
        <f t="shared" si="39"/>
        <v>0</v>
      </c>
    </row>
    <row r="211" spans="1:39" s="109" customFormat="1" ht="13.5" x14ac:dyDescent="0.25">
      <c r="A211" s="121">
        <v>8</v>
      </c>
      <c r="B211" s="122" t="s">
        <v>158</v>
      </c>
      <c r="C211" s="122">
        <v>5</v>
      </c>
      <c r="D211" s="122">
        <v>2</v>
      </c>
      <c r="E211" s="123"/>
      <c r="F211" s="123">
        <v>1040</v>
      </c>
      <c r="G211" s="123">
        <v>522</v>
      </c>
      <c r="H211" s="118">
        <v>161</v>
      </c>
      <c r="I211" s="118">
        <v>357</v>
      </c>
      <c r="J211" s="118">
        <v>0</v>
      </c>
      <c r="K211" s="113">
        <f t="shared" si="34"/>
        <v>522</v>
      </c>
      <c r="L211" s="115">
        <f t="shared" si="35"/>
        <v>80.5</v>
      </c>
      <c r="M211" s="115">
        <f t="shared" si="35"/>
        <v>178.5</v>
      </c>
      <c r="N211" s="115">
        <f t="shared" si="35"/>
        <v>0</v>
      </c>
      <c r="O211" s="115">
        <f t="shared" si="36"/>
        <v>781</v>
      </c>
      <c r="P211" s="115">
        <f t="shared" si="37"/>
        <v>80.5</v>
      </c>
      <c r="Q211" s="115">
        <f t="shared" si="37"/>
        <v>178.5</v>
      </c>
      <c r="R211" s="115">
        <f t="shared" si="37"/>
        <v>0</v>
      </c>
      <c r="S211" s="114">
        <f t="shared" si="38"/>
        <v>259</v>
      </c>
      <c r="T211" s="123"/>
      <c r="U211" s="123"/>
      <c r="V211" s="118">
        <v>28</v>
      </c>
      <c r="W211" s="123" t="e">
        <f>'[1]убор.пл. ф-8 сост. 01.01.11 г.'!S228+'[1]убор.пл. ф-8 сост. 01.01.11 г.'!W228+'[1]убор.пл. ф-8 сост. 01.01.11 г.'!AC228+'[1]убор.пл. ф-8 сост. 01.01.11 г.'!AD228</f>
        <v>#REF!</v>
      </c>
      <c r="X211" s="123"/>
      <c r="Y211" s="123">
        <v>2738</v>
      </c>
      <c r="Z211" s="118">
        <v>0</v>
      </c>
      <c r="AA211" s="123"/>
      <c r="AB211" s="118">
        <v>3806</v>
      </c>
      <c r="AC211" s="117"/>
      <c r="AD211" s="118">
        <f t="shared" si="33"/>
        <v>781</v>
      </c>
      <c r="AE211" s="118"/>
      <c r="AF211" s="118" t="e">
        <f>#REF!-AE211</f>
        <v>#REF!</v>
      </c>
      <c r="AG211" s="118"/>
      <c r="AH211" s="118" t="e">
        <f>#REF!-AG211</f>
        <v>#REF!</v>
      </c>
      <c r="AI211" s="118"/>
      <c r="AJ211" s="118"/>
      <c r="AK211" s="120" t="e">
        <f t="shared" si="32"/>
        <v>#REF!</v>
      </c>
      <c r="AL211" s="109">
        <f t="shared" si="39"/>
        <v>0</v>
      </c>
      <c r="AM211" s="109">
        <f t="shared" si="39"/>
        <v>0</v>
      </c>
    </row>
    <row r="212" spans="1:39" s="109" customFormat="1" ht="13.5" x14ac:dyDescent="0.25">
      <c r="A212" s="121">
        <v>9</v>
      </c>
      <c r="B212" s="122" t="s">
        <v>158</v>
      </c>
      <c r="C212" s="122">
        <v>6</v>
      </c>
      <c r="D212" s="122">
        <v>1</v>
      </c>
      <c r="E212" s="123"/>
      <c r="F212" s="123">
        <v>188</v>
      </c>
      <c r="G212" s="123">
        <v>88</v>
      </c>
      <c r="H212" s="118">
        <v>100</v>
      </c>
      <c r="I212" s="118">
        <v>0</v>
      </c>
      <c r="J212" s="118">
        <v>0</v>
      </c>
      <c r="K212" s="113">
        <f t="shared" si="34"/>
        <v>88</v>
      </c>
      <c r="L212" s="115">
        <f t="shared" si="35"/>
        <v>50</v>
      </c>
      <c r="M212" s="115">
        <f t="shared" si="35"/>
        <v>0</v>
      </c>
      <c r="N212" s="115">
        <f t="shared" si="35"/>
        <v>0</v>
      </c>
      <c r="O212" s="115">
        <f t="shared" si="36"/>
        <v>138</v>
      </c>
      <c r="P212" s="115">
        <f t="shared" si="37"/>
        <v>50</v>
      </c>
      <c r="Q212" s="115">
        <f t="shared" si="37"/>
        <v>0</v>
      </c>
      <c r="R212" s="115">
        <f t="shared" si="37"/>
        <v>0</v>
      </c>
      <c r="S212" s="114">
        <f t="shared" si="38"/>
        <v>50</v>
      </c>
      <c r="T212" s="123"/>
      <c r="U212" s="123"/>
      <c r="V212" s="118">
        <v>0</v>
      </c>
      <c r="W212" s="123" t="e">
        <f>'[1]убор.пл. ф-8 сост. 01.01.11 г.'!S229+'[1]убор.пл. ф-8 сост. 01.01.11 г.'!W229+'[1]убор.пл. ф-8 сост. 01.01.11 г.'!AC229+'[1]убор.пл. ф-8 сост. 01.01.11 г.'!AD229</f>
        <v>#REF!</v>
      </c>
      <c r="X212" s="123"/>
      <c r="Y212" s="123">
        <v>1544</v>
      </c>
      <c r="Z212" s="118">
        <v>0</v>
      </c>
      <c r="AA212" s="123"/>
      <c r="AB212" s="118">
        <v>1732</v>
      </c>
      <c r="AC212" s="117"/>
      <c r="AD212" s="118">
        <f t="shared" si="33"/>
        <v>138</v>
      </c>
      <c r="AE212" s="118"/>
      <c r="AF212" s="118" t="e">
        <f>#REF!-AE212</f>
        <v>#REF!</v>
      </c>
      <c r="AG212" s="118"/>
      <c r="AH212" s="118" t="e">
        <f>#REF!-AG212</f>
        <v>#REF!</v>
      </c>
      <c r="AI212" s="118"/>
      <c r="AJ212" s="118"/>
      <c r="AK212" s="120" t="e">
        <f t="shared" si="32"/>
        <v>#REF!</v>
      </c>
      <c r="AL212" s="109">
        <f t="shared" si="39"/>
        <v>0</v>
      </c>
      <c r="AM212" s="109">
        <f t="shared" si="39"/>
        <v>0</v>
      </c>
    </row>
    <row r="213" spans="1:39" s="109" customFormat="1" ht="13.5" x14ac:dyDescent="0.25">
      <c r="A213" s="121">
        <v>10</v>
      </c>
      <c r="B213" s="122" t="s">
        <v>158</v>
      </c>
      <c r="C213" s="122">
        <v>6</v>
      </c>
      <c r="D213" s="122">
        <v>2</v>
      </c>
      <c r="E213" s="123">
        <f>104.55</f>
        <v>104.55</v>
      </c>
      <c r="F213" s="123">
        <f>1441+E213</f>
        <v>1545.55</v>
      </c>
      <c r="G213" s="123">
        <v>481.55</v>
      </c>
      <c r="H213" s="118">
        <v>464</v>
      </c>
      <c r="I213" s="118">
        <v>407</v>
      </c>
      <c r="J213" s="118">
        <v>193</v>
      </c>
      <c r="K213" s="113">
        <f t="shared" si="34"/>
        <v>481.55</v>
      </c>
      <c r="L213" s="115">
        <f t="shared" si="35"/>
        <v>232</v>
      </c>
      <c r="M213" s="115">
        <f t="shared" si="35"/>
        <v>203.5</v>
      </c>
      <c r="N213" s="115">
        <f t="shared" si="35"/>
        <v>96.5</v>
      </c>
      <c r="O213" s="115">
        <f t="shared" si="36"/>
        <v>1013.55</v>
      </c>
      <c r="P213" s="115">
        <f t="shared" si="37"/>
        <v>232</v>
      </c>
      <c r="Q213" s="115">
        <f t="shared" si="37"/>
        <v>203.5</v>
      </c>
      <c r="R213" s="115">
        <f t="shared" si="37"/>
        <v>96.5</v>
      </c>
      <c r="S213" s="114">
        <f t="shared" si="38"/>
        <v>532</v>
      </c>
      <c r="T213" s="123"/>
      <c r="U213" s="123"/>
      <c r="V213" s="118">
        <v>138</v>
      </c>
      <c r="W213" s="123" t="e">
        <f>'[1]убор.пл. ф-8 сост. 01.01.11 г.'!S230+'[1]убор.пл. ф-8 сост. 01.01.11 г.'!W230+'[1]убор.пл. ф-8 сост. 01.01.11 г.'!AC230+'[1]убор.пл. ф-8 сост. 01.01.11 г.'!AD230</f>
        <v>#REF!</v>
      </c>
      <c r="X213" s="123"/>
      <c r="Y213" s="123">
        <f>5991-E213</f>
        <v>5886.45</v>
      </c>
      <c r="Z213" s="118">
        <v>0</v>
      </c>
      <c r="AA213" s="123"/>
      <c r="AB213" s="118">
        <v>7570</v>
      </c>
      <c r="AC213" s="117"/>
      <c r="AD213" s="118">
        <f t="shared" si="33"/>
        <v>1013.55</v>
      </c>
      <c r="AE213" s="118"/>
      <c r="AF213" s="118" t="e">
        <f>#REF!-AE213</f>
        <v>#REF!</v>
      </c>
      <c r="AG213" s="128">
        <v>12</v>
      </c>
      <c r="AH213" s="118" t="e">
        <f>#REF!-AG213</f>
        <v>#REF!</v>
      </c>
      <c r="AI213" s="118"/>
      <c r="AJ213" s="118"/>
      <c r="AK213" s="120" t="e">
        <f t="shared" si="32"/>
        <v>#REF!</v>
      </c>
      <c r="AL213" s="109">
        <f t="shared" si="39"/>
        <v>0</v>
      </c>
      <c r="AM213" s="109">
        <f t="shared" si="39"/>
        <v>0</v>
      </c>
    </row>
    <row r="214" spans="1:39" s="109" customFormat="1" ht="13.5" x14ac:dyDescent="0.25">
      <c r="A214" s="121">
        <v>11</v>
      </c>
      <c r="B214" s="122" t="s">
        <v>158</v>
      </c>
      <c r="C214" s="122">
        <v>6</v>
      </c>
      <c r="D214" s="122">
        <v>3</v>
      </c>
      <c r="E214" s="123">
        <f>136.44</f>
        <v>136.44</v>
      </c>
      <c r="F214" s="123">
        <f>1332+E214</f>
        <v>1468.44</v>
      </c>
      <c r="G214" s="123">
        <v>457.44</v>
      </c>
      <c r="H214" s="118">
        <v>70</v>
      </c>
      <c r="I214" s="118">
        <v>448</v>
      </c>
      <c r="J214" s="118">
        <v>493</v>
      </c>
      <c r="K214" s="113">
        <f t="shared" si="34"/>
        <v>457.44</v>
      </c>
      <c r="L214" s="115">
        <f t="shared" si="35"/>
        <v>35</v>
      </c>
      <c r="M214" s="115">
        <f t="shared" si="35"/>
        <v>224</v>
      </c>
      <c r="N214" s="115">
        <f t="shared" si="35"/>
        <v>246.5</v>
      </c>
      <c r="O214" s="115">
        <f t="shared" si="36"/>
        <v>962.94</v>
      </c>
      <c r="P214" s="115">
        <f t="shared" si="37"/>
        <v>35</v>
      </c>
      <c r="Q214" s="115">
        <f t="shared" si="37"/>
        <v>224</v>
      </c>
      <c r="R214" s="115">
        <f t="shared" si="37"/>
        <v>246.5</v>
      </c>
      <c r="S214" s="114">
        <f t="shared" si="38"/>
        <v>505.5</v>
      </c>
      <c r="T214" s="123"/>
      <c r="U214" s="123"/>
      <c r="V214" s="118">
        <v>360</v>
      </c>
      <c r="W214" s="123" t="e">
        <f>'[1]убор.пл. ф-8 сост. 01.01.11 г.'!S231+'[1]убор.пл. ф-8 сост. 01.01.11 г.'!W231+'[1]убор.пл. ф-8 сост. 01.01.11 г.'!AC231+'[1]убор.пл. ф-8 сост. 01.01.11 г.'!AD231</f>
        <v>#REF!</v>
      </c>
      <c r="X214" s="123"/>
      <c r="Y214" s="123">
        <f>4312-E214</f>
        <v>4175.5600000000004</v>
      </c>
      <c r="Z214" s="118">
        <v>0</v>
      </c>
      <c r="AA214" s="123">
        <v>20</v>
      </c>
      <c r="AB214" s="118">
        <v>6004</v>
      </c>
      <c r="AC214" s="117"/>
      <c r="AD214" s="118">
        <f t="shared" si="33"/>
        <v>962.94</v>
      </c>
      <c r="AE214" s="118"/>
      <c r="AF214" s="118" t="e">
        <f>#REF!-AE214</f>
        <v>#REF!</v>
      </c>
      <c r="AG214" s="128">
        <v>114</v>
      </c>
      <c r="AH214" s="118" t="e">
        <f>#REF!-AG214</f>
        <v>#REF!</v>
      </c>
      <c r="AI214" s="118">
        <v>20</v>
      </c>
      <c r="AJ214" s="128"/>
      <c r="AK214" s="120" t="e">
        <f t="shared" si="32"/>
        <v>#REF!</v>
      </c>
      <c r="AL214" s="109">
        <f t="shared" si="39"/>
        <v>0</v>
      </c>
      <c r="AM214" s="109">
        <f t="shared" si="39"/>
        <v>0</v>
      </c>
    </row>
    <row r="215" spans="1:39" s="109" customFormat="1" ht="13.5" x14ac:dyDescent="0.25">
      <c r="A215" s="121">
        <v>12</v>
      </c>
      <c r="B215" s="122" t="s">
        <v>158</v>
      </c>
      <c r="C215" s="122">
        <v>7</v>
      </c>
      <c r="D215" s="122">
        <v>1</v>
      </c>
      <c r="E215" s="123"/>
      <c r="F215" s="123">
        <v>777</v>
      </c>
      <c r="G215" s="123">
        <v>140</v>
      </c>
      <c r="H215" s="118">
        <v>86</v>
      </c>
      <c r="I215" s="118">
        <v>155</v>
      </c>
      <c r="J215" s="118">
        <v>396</v>
      </c>
      <c r="K215" s="113">
        <f t="shared" si="34"/>
        <v>140</v>
      </c>
      <c r="L215" s="115">
        <f t="shared" si="35"/>
        <v>43</v>
      </c>
      <c r="M215" s="115">
        <f t="shared" si="35"/>
        <v>77.5</v>
      </c>
      <c r="N215" s="115">
        <f t="shared" si="35"/>
        <v>198</v>
      </c>
      <c r="O215" s="115">
        <f t="shared" si="36"/>
        <v>458.5</v>
      </c>
      <c r="P215" s="115">
        <f t="shared" si="37"/>
        <v>43</v>
      </c>
      <c r="Q215" s="115">
        <f t="shared" si="37"/>
        <v>77.5</v>
      </c>
      <c r="R215" s="115">
        <f t="shared" si="37"/>
        <v>198</v>
      </c>
      <c r="S215" s="114">
        <f t="shared" si="38"/>
        <v>318.5</v>
      </c>
      <c r="T215" s="123"/>
      <c r="U215" s="123"/>
      <c r="V215" s="118">
        <v>108</v>
      </c>
      <c r="W215" s="123" t="e">
        <f>'[1]убор.пл. ф-8 сост. 01.01.11 г.'!S232+'[1]убор.пл. ф-8 сост. 01.01.11 г.'!W232+'[1]убор.пл. ф-8 сост. 01.01.11 г.'!AC232+'[1]убор.пл. ф-8 сост. 01.01.11 г.'!AD232</f>
        <v>#REF!</v>
      </c>
      <c r="X215" s="123"/>
      <c r="Y215" s="123">
        <v>1510</v>
      </c>
      <c r="Z215" s="118">
        <v>0</v>
      </c>
      <c r="AA215" s="123"/>
      <c r="AB215" s="118">
        <v>2395</v>
      </c>
      <c r="AC215" s="117"/>
      <c r="AD215" s="118">
        <f t="shared" si="33"/>
        <v>458.5</v>
      </c>
      <c r="AE215" s="118"/>
      <c r="AF215" s="118" t="e">
        <f>#REF!-AE215</f>
        <v>#REF!</v>
      </c>
      <c r="AG215" s="118"/>
      <c r="AH215" s="118" t="e">
        <f>#REF!-AG215</f>
        <v>#REF!</v>
      </c>
      <c r="AI215" s="118"/>
      <c r="AJ215" s="118"/>
      <c r="AK215" s="120" t="e">
        <f t="shared" si="32"/>
        <v>#REF!</v>
      </c>
      <c r="AL215" s="109">
        <f t="shared" si="39"/>
        <v>0</v>
      </c>
      <c r="AM215" s="109">
        <f t="shared" si="39"/>
        <v>0</v>
      </c>
    </row>
    <row r="216" spans="1:39" s="109" customFormat="1" ht="13.5" x14ac:dyDescent="0.25">
      <c r="A216" s="121">
        <v>13</v>
      </c>
      <c r="B216" s="122" t="s">
        <v>158</v>
      </c>
      <c r="C216" s="122">
        <v>7</v>
      </c>
      <c r="D216" s="122">
        <v>2</v>
      </c>
      <c r="E216" s="123"/>
      <c r="F216" s="123">
        <v>962</v>
      </c>
      <c r="G216" s="123">
        <v>445</v>
      </c>
      <c r="H216" s="118">
        <v>115</v>
      </c>
      <c r="I216" s="118">
        <v>247</v>
      </c>
      <c r="J216" s="118">
        <v>155</v>
      </c>
      <c r="K216" s="113">
        <f t="shared" si="34"/>
        <v>445</v>
      </c>
      <c r="L216" s="115">
        <f t="shared" si="35"/>
        <v>57.5</v>
      </c>
      <c r="M216" s="115">
        <f t="shared" si="35"/>
        <v>123.5</v>
      </c>
      <c r="N216" s="115">
        <f t="shared" si="35"/>
        <v>77.5</v>
      </c>
      <c r="O216" s="115">
        <f t="shared" si="36"/>
        <v>703.5</v>
      </c>
      <c r="P216" s="115">
        <f t="shared" si="37"/>
        <v>57.5</v>
      </c>
      <c r="Q216" s="115">
        <f t="shared" si="37"/>
        <v>123.5</v>
      </c>
      <c r="R216" s="115">
        <f t="shared" si="37"/>
        <v>77.5</v>
      </c>
      <c r="S216" s="114">
        <f t="shared" si="38"/>
        <v>258.5</v>
      </c>
      <c r="T216" s="123"/>
      <c r="U216" s="123"/>
      <c r="V216" s="118">
        <v>79</v>
      </c>
      <c r="W216" s="123" t="e">
        <f>'[1]убор.пл. ф-8 сост. 01.01.11 г.'!S233+'[1]убор.пл. ф-8 сост. 01.01.11 г.'!W233+'[1]убор.пл. ф-8 сост. 01.01.11 г.'!AC233+'[1]убор.пл. ф-8 сост. 01.01.11 г.'!AD233</f>
        <v>#REF!</v>
      </c>
      <c r="X216" s="123"/>
      <c r="Y216" s="123">
        <v>2575</v>
      </c>
      <c r="Z216" s="118">
        <v>0</v>
      </c>
      <c r="AA216" s="123"/>
      <c r="AB216" s="118">
        <v>3616</v>
      </c>
      <c r="AC216" s="117"/>
      <c r="AD216" s="118">
        <f t="shared" si="33"/>
        <v>703.5</v>
      </c>
      <c r="AE216" s="118"/>
      <c r="AF216" s="118" t="e">
        <f>#REF!-AE216</f>
        <v>#REF!</v>
      </c>
      <c r="AG216" s="128">
        <v>48</v>
      </c>
      <c r="AH216" s="118" t="e">
        <f>#REF!-AG216</f>
        <v>#REF!</v>
      </c>
      <c r="AI216" s="118"/>
      <c r="AJ216" s="118"/>
      <c r="AK216" s="120" t="e">
        <f t="shared" si="32"/>
        <v>#REF!</v>
      </c>
      <c r="AL216" s="109">
        <f t="shared" si="39"/>
        <v>0</v>
      </c>
      <c r="AM216" s="109">
        <f t="shared" si="39"/>
        <v>0</v>
      </c>
    </row>
    <row r="217" spans="1:39" s="109" customFormat="1" ht="13.5" x14ac:dyDescent="0.25">
      <c r="A217" s="121">
        <v>14</v>
      </c>
      <c r="B217" s="122" t="s">
        <v>158</v>
      </c>
      <c r="C217" s="122">
        <v>8</v>
      </c>
      <c r="D217" s="122">
        <v>2</v>
      </c>
      <c r="E217" s="123">
        <f>35.55</f>
        <v>35.549999999999997</v>
      </c>
      <c r="F217" s="123">
        <f>1153+E217</f>
        <v>1188.55</v>
      </c>
      <c r="G217" s="123">
        <v>371.55</v>
      </c>
      <c r="H217" s="118">
        <v>51</v>
      </c>
      <c r="I217" s="118">
        <v>263</v>
      </c>
      <c r="J217" s="118">
        <v>503</v>
      </c>
      <c r="K217" s="113">
        <f t="shared" si="34"/>
        <v>371.55</v>
      </c>
      <c r="L217" s="115">
        <f t="shared" si="35"/>
        <v>25.5</v>
      </c>
      <c r="M217" s="115">
        <f t="shared" si="35"/>
        <v>131.5</v>
      </c>
      <c r="N217" s="115">
        <f t="shared" si="35"/>
        <v>251.5</v>
      </c>
      <c r="O217" s="115">
        <f t="shared" si="36"/>
        <v>780.05</v>
      </c>
      <c r="P217" s="115">
        <f t="shared" si="37"/>
        <v>25.5</v>
      </c>
      <c r="Q217" s="115">
        <f t="shared" si="37"/>
        <v>131.5</v>
      </c>
      <c r="R217" s="115">
        <f t="shared" si="37"/>
        <v>251.5</v>
      </c>
      <c r="S217" s="114">
        <f t="shared" si="38"/>
        <v>408.5</v>
      </c>
      <c r="T217" s="123"/>
      <c r="U217" s="123"/>
      <c r="V217" s="118">
        <v>338</v>
      </c>
      <c r="W217" s="123" t="e">
        <f>'[1]убор.пл. ф-8 сост. 01.01.11 г.'!S234+'[1]убор.пл. ф-8 сост. 01.01.11 г.'!W234+'[1]убор.пл. ф-8 сост. 01.01.11 г.'!AC234+'[1]убор.пл. ф-8 сост. 01.01.11 г.'!AD234</f>
        <v>#REF!</v>
      </c>
      <c r="X217" s="123"/>
      <c r="Y217" s="123">
        <f>5978-E217</f>
        <v>5942.45</v>
      </c>
      <c r="Z217" s="118">
        <v>0</v>
      </c>
      <c r="AA217" s="123"/>
      <c r="AB217" s="118">
        <v>7469</v>
      </c>
      <c r="AC217" s="117"/>
      <c r="AD217" s="118">
        <f t="shared" si="33"/>
        <v>780.05</v>
      </c>
      <c r="AE217" s="118"/>
      <c r="AF217" s="118" t="e">
        <f>#REF!-AE217</f>
        <v>#REF!</v>
      </c>
      <c r="AG217" s="128"/>
      <c r="AH217" s="118" t="e">
        <f>#REF!-AG217</f>
        <v>#REF!</v>
      </c>
      <c r="AI217" s="118"/>
      <c r="AJ217" s="118"/>
      <c r="AK217" s="120" t="e">
        <f t="shared" si="32"/>
        <v>#REF!</v>
      </c>
      <c r="AL217" s="109">
        <f t="shared" si="39"/>
        <v>0</v>
      </c>
      <c r="AM217" s="109">
        <f t="shared" si="39"/>
        <v>0</v>
      </c>
    </row>
    <row r="218" spans="1:39" s="109" customFormat="1" ht="13.5" x14ac:dyDescent="0.25">
      <c r="A218" s="121">
        <v>15</v>
      </c>
      <c r="B218" s="122" t="s">
        <v>158</v>
      </c>
      <c r="C218" s="122">
        <v>9</v>
      </c>
      <c r="D218" s="122">
        <v>2</v>
      </c>
      <c r="E218" s="123"/>
      <c r="F218" s="123">
        <v>1335</v>
      </c>
      <c r="G218" s="123">
        <v>271</v>
      </c>
      <c r="H218" s="118">
        <v>311</v>
      </c>
      <c r="I218" s="118">
        <v>462</v>
      </c>
      <c r="J218" s="118">
        <v>291</v>
      </c>
      <c r="K218" s="113">
        <f t="shared" si="34"/>
        <v>271</v>
      </c>
      <c r="L218" s="115">
        <f t="shared" si="35"/>
        <v>155.5</v>
      </c>
      <c r="M218" s="115">
        <f t="shared" si="35"/>
        <v>231</v>
      </c>
      <c r="N218" s="115">
        <f t="shared" si="35"/>
        <v>145.5</v>
      </c>
      <c r="O218" s="115">
        <f t="shared" si="36"/>
        <v>803</v>
      </c>
      <c r="P218" s="115">
        <f t="shared" si="37"/>
        <v>155.5</v>
      </c>
      <c r="Q218" s="115">
        <f t="shared" si="37"/>
        <v>231</v>
      </c>
      <c r="R218" s="115">
        <f t="shared" si="37"/>
        <v>145.5</v>
      </c>
      <c r="S218" s="114">
        <f t="shared" si="38"/>
        <v>532</v>
      </c>
      <c r="T218" s="123"/>
      <c r="U218" s="123"/>
      <c r="V218" s="118">
        <v>243</v>
      </c>
      <c r="W218" s="123" t="e">
        <f>'[1]убор.пл. ф-8 сост. 01.01.11 г.'!S235+'[1]убор.пл. ф-8 сост. 01.01.11 г.'!W235+'[1]убор.пл. ф-8 сост. 01.01.11 г.'!AC235+'[1]убор.пл. ф-8 сост. 01.01.11 г.'!AD235</f>
        <v>#REF!</v>
      </c>
      <c r="X218" s="123"/>
      <c r="Y218" s="123">
        <v>4846</v>
      </c>
      <c r="Z218" s="118">
        <v>0</v>
      </c>
      <c r="AA218" s="123"/>
      <c r="AB218" s="118">
        <v>6424</v>
      </c>
      <c r="AC218" s="117"/>
      <c r="AD218" s="118">
        <f t="shared" si="33"/>
        <v>803</v>
      </c>
      <c r="AE218" s="118"/>
      <c r="AF218" s="118" t="e">
        <f>#REF!-AE218</f>
        <v>#REF!</v>
      </c>
      <c r="AG218" s="128">
        <v>12</v>
      </c>
      <c r="AH218" s="118" t="e">
        <f>#REF!-AG218</f>
        <v>#REF!</v>
      </c>
      <c r="AI218" s="118"/>
      <c r="AJ218" s="118"/>
      <c r="AK218" s="120" t="e">
        <f t="shared" si="32"/>
        <v>#REF!</v>
      </c>
      <c r="AL218" s="109">
        <f t="shared" si="39"/>
        <v>0</v>
      </c>
      <c r="AM218" s="109">
        <f t="shared" si="39"/>
        <v>0</v>
      </c>
    </row>
    <row r="219" spans="1:39" s="109" customFormat="1" ht="13.5" x14ac:dyDescent="0.25">
      <c r="A219" s="121">
        <v>16</v>
      </c>
      <c r="B219" s="122" t="s">
        <v>158</v>
      </c>
      <c r="C219" s="122">
        <v>10</v>
      </c>
      <c r="D219" s="122">
        <v>1</v>
      </c>
      <c r="E219" s="131"/>
      <c r="F219" s="131">
        <f>1898+25</f>
        <v>1923</v>
      </c>
      <c r="G219" s="673">
        <v>760</v>
      </c>
      <c r="H219" s="694">
        <v>312</v>
      </c>
      <c r="I219" s="694">
        <v>292</v>
      </c>
      <c r="J219" s="694">
        <v>559</v>
      </c>
      <c r="K219" s="673">
        <f t="shared" si="34"/>
        <v>760</v>
      </c>
      <c r="L219" s="673">
        <f t="shared" si="35"/>
        <v>156</v>
      </c>
      <c r="M219" s="673">
        <f t="shared" si="35"/>
        <v>146</v>
      </c>
      <c r="N219" s="673">
        <f t="shared" si="35"/>
        <v>279.5</v>
      </c>
      <c r="O219" s="696">
        <f>K219+L219+M219+N219</f>
        <v>1341.5</v>
      </c>
      <c r="P219" s="673">
        <f>H219/2</f>
        <v>156</v>
      </c>
      <c r="Q219" s="696">
        <f>I219/2</f>
        <v>146</v>
      </c>
      <c r="R219" s="696">
        <f>J219/2</f>
        <v>279.5</v>
      </c>
      <c r="S219" s="694">
        <f t="shared" si="38"/>
        <v>581.5</v>
      </c>
      <c r="T219" s="673"/>
      <c r="U219" s="673"/>
      <c r="V219" s="98">
        <v>395</v>
      </c>
      <c r="W219" s="673" t="e">
        <f>'[1]убор.пл. ф-8 сост. 01.01.11 г.'!S236+'[1]убор.пл. ф-8 сост. 01.01.11 г.'!W236+'[1]убор.пл. ф-8 сост. 01.01.11 г.'!AC236+'[1]убор.пл. ф-8 сост. 01.01.11 г.'!AD236</f>
        <v>#REF!</v>
      </c>
      <c r="X219" s="673"/>
      <c r="Y219" s="131">
        <v>8616</v>
      </c>
      <c r="Z219" s="98">
        <v>0</v>
      </c>
      <c r="AA219" s="673">
        <v>19</v>
      </c>
      <c r="AB219" s="98">
        <v>10934</v>
      </c>
      <c r="AC219" s="700"/>
      <c r="AD219" s="694">
        <f t="shared" si="33"/>
        <v>1341.5</v>
      </c>
      <c r="AE219" s="694"/>
      <c r="AF219" s="694" t="e">
        <f>#REF!-AE219</f>
        <v>#REF!</v>
      </c>
      <c r="AG219" s="698"/>
      <c r="AH219" s="694" t="e">
        <f>#REF!-AG219</f>
        <v>#REF!</v>
      </c>
      <c r="AI219" s="694">
        <v>19</v>
      </c>
      <c r="AJ219" s="698"/>
      <c r="AK219" s="120" t="e">
        <f t="shared" si="32"/>
        <v>#REF!</v>
      </c>
      <c r="AL219" s="109">
        <f t="shared" si="39"/>
        <v>0</v>
      </c>
      <c r="AM219" s="109">
        <f t="shared" si="39"/>
        <v>0</v>
      </c>
    </row>
    <row r="220" spans="1:39" s="109" customFormat="1" ht="13.5" x14ac:dyDescent="0.25">
      <c r="A220" s="121">
        <v>17</v>
      </c>
      <c r="B220" s="122" t="s">
        <v>158</v>
      </c>
      <c r="C220" s="122">
        <v>10</v>
      </c>
      <c r="D220" s="122">
        <v>2</v>
      </c>
      <c r="E220" s="113"/>
      <c r="F220" s="113">
        <v>0</v>
      </c>
      <c r="G220" s="674"/>
      <c r="H220" s="695"/>
      <c r="I220" s="695"/>
      <c r="J220" s="695"/>
      <c r="K220" s="674"/>
      <c r="L220" s="674"/>
      <c r="M220" s="674"/>
      <c r="N220" s="674"/>
      <c r="O220" s="697"/>
      <c r="P220" s="674"/>
      <c r="Q220" s="697"/>
      <c r="R220" s="697"/>
      <c r="S220" s="695"/>
      <c r="T220" s="674"/>
      <c r="U220" s="674"/>
      <c r="V220" s="114">
        <v>0</v>
      </c>
      <c r="W220" s="674"/>
      <c r="X220" s="674"/>
      <c r="Y220" s="113">
        <v>0</v>
      </c>
      <c r="Z220" s="114">
        <v>0</v>
      </c>
      <c r="AA220" s="674"/>
      <c r="AB220" s="114"/>
      <c r="AC220" s="701"/>
      <c r="AD220" s="695"/>
      <c r="AE220" s="695"/>
      <c r="AF220" s="695"/>
      <c r="AG220" s="699"/>
      <c r="AH220" s="695"/>
      <c r="AI220" s="695"/>
      <c r="AJ220" s="699"/>
      <c r="AK220" s="120">
        <f t="shared" si="32"/>
        <v>0</v>
      </c>
      <c r="AL220" s="109">
        <f t="shared" si="39"/>
        <v>0</v>
      </c>
      <c r="AM220" s="109">
        <f t="shared" si="39"/>
        <v>0</v>
      </c>
    </row>
    <row r="221" spans="1:39" s="109" customFormat="1" ht="13.5" x14ac:dyDescent="0.25">
      <c r="A221" s="121">
        <v>18</v>
      </c>
      <c r="B221" s="122" t="s">
        <v>158</v>
      </c>
      <c r="C221" s="122">
        <v>10</v>
      </c>
      <c r="D221" s="122">
        <v>3</v>
      </c>
      <c r="E221" s="123"/>
      <c r="F221" s="123">
        <v>930</v>
      </c>
      <c r="G221" s="123">
        <v>307</v>
      </c>
      <c r="H221" s="118">
        <v>80</v>
      </c>
      <c r="I221" s="118">
        <v>272</v>
      </c>
      <c r="J221" s="118">
        <v>271</v>
      </c>
      <c r="K221" s="123">
        <f t="shared" si="34"/>
        <v>307</v>
      </c>
      <c r="L221" s="124">
        <f t="shared" si="35"/>
        <v>40</v>
      </c>
      <c r="M221" s="124">
        <f t="shared" si="35"/>
        <v>136</v>
      </c>
      <c r="N221" s="124">
        <f t="shared" si="35"/>
        <v>135.5</v>
      </c>
      <c r="O221" s="124">
        <f>K221+L221+M221+N221</f>
        <v>618.5</v>
      </c>
      <c r="P221" s="124">
        <f t="shared" ref="P221:R222" si="40">H221/2</f>
        <v>40</v>
      </c>
      <c r="Q221" s="124">
        <f t="shared" si="40"/>
        <v>136</v>
      </c>
      <c r="R221" s="124">
        <f t="shared" si="40"/>
        <v>135.5</v>
      </c>
      <c r="S221" s="118">
        <f t="shared" si="38"/>
        <v>311.5</v>
      </c>
      <c r="T221" s="123"/>
      <c r="U221" s="123"/>
      <c r="V221" s="118">
        <v>168</v>
      </c>
      <c r="W221" s="123" t="e">
        <f>'[1]убор.пл. ф-8 сост. 01.01.11 г.'!S238+'[1]убор.пл. ф-8 сост. 01.01.11 г.'!W238+'[1]убор.пл. ф-8 сост. 01.01.11 г.'!AC238+'[1]убор.пл. ф-8 сост. 01.01.11 г.'!AD238</f>
        <v>#REF!</v>
      </c>
      <c r="X221" s="123"/>
      <c r="Y221" s="123">
        <v>1103</v>
      </c>
      <c r="Z221" s="118">
        <v>0</v>
      </c>
      <c r="AA221" s="123"/>
      <c r="AB221" s="118">
        <v>2201</v>
      </c>
      <c r="AC221" s="117"/>
      <c r="AD221" s="118">
        <f t="shared" ref="AD221:AD284" si="41">O221-AC221</f>
        <v>618.5</v>
      </c>
      <c r="AE221" s="118"/>
      <c r="AF221" s="118" t="e">
        <f>#REF!-AE221</f>
        <v>#REF!</v>
      </c>
      <c r="AG221" s="118"/>
      <c r="AH221" s="118" t="e">
        <f>#REF!-AG221</f>
        <v>#REF!</v>
      </c>
      <c r="AI221" s="118"/>
      <c r="AJ221" s="118"/>
      <c r="AK221" s="120" t="e">
        <f t="shared" si="32"/>
        <v>#REF!</v>
      </c>
      <c r="AL221" s="109">
        <f t="shared" si="39"/>
        <v>0</v>
      </c>
      <c r="AM221" s="109">
        <f t="shared" si="39"/>
        <v>0</v>
      </c>
    </row>
    <row r="222" spans="1:39" s="109" customFormat="1" ht="13.5" x14ac:dyDescent="0.25">
      <c r="A222" s="121">
        <v>19</v>
      </c>
      <c r="B222" s="122" t="s">
        <v>158</v>
      </c>
      <c r="C222" s="122">
        <v>11</v>
      </c>
      <c r="D222" s="122">
        <v>1</v>
      </c>
      <c r="E222" s="123"/>
      <c r="F222" s="123">
        <v>839</v>
      </c>
      <c r="G222" s="673">
        <v>492</v>
      </c>
      <c r="H222" s="694">
        <v>238</v>
      </c>
      <c r="I222" s="694">
        <v>432</v>
      </c>
      <c r="J222" s="694">
        <v>295</v>
      </c>
      <c r="K222" s="673">
        <f t="shared" si="34"/>
        <v>492</v>
      </c>
      <c r="L222" s="673">
        <f t="shared" si="35"/>
        <v>119</v>
      </c>
      <c r="M222" s="673">
        <f t="shared" si="35"/>
        <v>216</v>
      </c>
      <c r="N222" s="673">
        <f t="shared" si="35"/>
        <v>147.5</v>
      </c>
      <c r="O222" s="696">
        <f>K222+L222+M222+N222</f>
        <v>974.5</v>
      </c>
      <c r="P222" s="696">
        <f t="shared" si="40"/>
        <v>119</v>
      </c>
      <c r="Q222" s="696">
        <f t="shared" si="40"/>
        <v>216</v>
      </c>
      <c r="R222" s="696">
        <f t="shared" si="40"/>
        <v>147.5</v>
      </c>
      <c r="S222" s="694">
        <f t="shared" si="38"/>
        <v>482.5</v>
      </c>
      <c r="T222" s="123"/>
      <c r="U222" s="123"/>
      <c r="V222" s="694">
        <v>171</v>
      </c>
      <c r="W222" s="123" t="e">
        <f>'[1]убор.пл. ф-8 сост. 01.01.11 г.'!S239+'[1]убор.пл. ф-8 сост. 01.01.11 г.'!W239+'[1]убор.пл. ф-8 сост. 01.01.11 г.'!AC239+'[1]убор.пл. ф-8 сост. 01.01.11 г.'!AD239</f>
        <v>#REF!</v>
      </c>
      <c r="X222" s="123"/>
      <c r="Y222" s="123">
        <v>3314</v>
      </c>
      <c r="Z222" s="118">
        <v>0</v>
      </c>
      <c r="AA222" s="123">
        <v>17</v>
      </c>
      <c r="AB222" s="118">
        <v>4324</v>
      </c>
      <c r="AC222" s="117"/>
      <c r="AD222" s="118">
        <f t="shared" si="41"/>
        <v>974.5</v>
      </c>
      <c r="AE222" s="118"/>
      <c r="AF222" s="118" t="e">
        <f>#REF!-AE222</f>
        <v>#REF!</v>
      </c>
      <c r="AG222" s="128">
        <v>6</v>
      </c>
      <c r="AH222" s="118" t="e">
        <f>#REF!-AG222</f>
        <v>#REF!</v>
      </c>
      <c r="AI222" s="118">
        <v>17</v>
      </c>
      <c r="AJ222" s="128"/>
      <c r="AK222" s="120" t="e">
        <f t="shared" si="32"/>
        <v>#REF!</v>
      </c>
      <c r="AL222" s="109">
        <f t="shared" si="39"/>
        <v>0</v>
      </c>
      <c r="AM222" s="109">
        <f t="shared" si="39"/>
        <v>0</v>
      </c>
    </row>
    <row r="223" spans="1:39" s="109" customFormat="1" ht="13.5" x14ac:dyDescent="0.25">
      <c r="A223" s="121">
        <v>20</v>
      </c>
      <c r="B223" s="122" t="s">
        <v>158</v>
      </c>
      <c r="C223" s="122">
        <v>11</v>
      </c>
      <c r="D223" s="122">
        <v>2</v>
      </c>
      <c r="E223" s="123"/>
      <c r="F223" s="123">
        <v>618</v>
      </c>
      <c r="G223" s="674"/>
      <c r="H223" s="695"/>
      <c r="I223" s="695"/>
      <c r="J223" s="695"/>
      <c r="K223" s="674"/>
      <c r="L223" s="674">
        <f t="shared" si="35"/>
        <v>0</v>
      </c>
      <c r="M223" s="674">
        <f t="shared" si="35"/>
        <v>0</v>
      </c>
      <c r="N223" s="674">
        <f t="shared" si="35"/>
        <v>0</v>
      </c>
      <c r="O223" s="697"/>
      <c r="P223" s="697">
        <f>H223/2</f>
        <v>0</v>
      </c>
      <c r="Q223" s="697">
        <f>M223/2</f>
        <v>0</v>
      </c>
      <c r="R223" s="697">
        <f>N223/2</f>
        <v>0</v>
      </c>
      <c r="S223" s="695">
        <f t="shared" si="38"/>
        <v>0</v>
      </c>
      <c r="T223" s="123"/>
      <c r="U223" s="123"/>
      <c r="V223" s="695"/>
      <c r="W223" s="123" t="e">
        <f>'[1]убор.пл. ф-8 сост. 01.01.11 г.'!S240+'[1]убор.пл. ф-8 сост. 01.01.11 г.'!W240+'[1]убор.пл. ф-8 сост. 01.01.11 г.'!AC240+'[1]убор.пл. ф-8 сост. 01.01.11 г.'!AD240</f>
        <v>#REF!</v>
      </c>
      <c r="X223" s="123"/>
      <c r="Y223" s="123">
        <v>2448</v>
      </c>
      <c r="Z223" s="118">
        <v>0</v>
      </c>
      <c r="AA223" s="123"/>
      <c r="AB223" s="118">
        <v>3066</v>
      </c>
      <c r="AC223" s="117"/>
      <c r="AD223" s="118">
        <f t="shared" si="41"/>
        <v>0</v>
      </c>
      <c r="AE223" s="118"/>
      <c r="AF223" s="118" t="e">
        <f>#REF!-AE223</f>
        <v>#REF!</v>
      </c>
      <c r="AG223" s="118"/>
      <c r="AH223" s="118" t="e">
        <f>#REF!-AG223</f>
        <v>#REF!</v>
      </c>
      <c r="AI223" s="118"/>
      <c r="AJ223" s="118"/>
      <c r="AK223" s="120" t="e">
        <f t="shared" si="32"/>
        <v>#REF!</v>
      </c>
      <c r="AL223" s="109">
        <f t="shared" si="39"/>
        <v>0</v>
      </c>
      <c r="AM223" s="109">
        <f t="shared" si="39"/>
        <v>0</v>
      </c>
    </row>
    <row r="224" spans="1:39" s="109" customFormat="1" ht="13.5" x14ac:dyDescent="0.25">
      <c r="A224" s="121">
        <v>21</v>
      </c>
      <c r="B224" s="122" t="s">
        <v>158</v>
      </c>
      <c r="C224" s="122">
        <v>12</v>
      </c>
      <c r="D224" s="122">
        <v>1</v>
      </c>
      <c r="E224" s="123"/>
      <c r="F224" s="673">
        <f>1622+26</f>
        <v>1648</v>
      </c>
      <c r="G224" s="673">
        <v>682</v>
      </c>
      <c r="H224" s="694">
        <v>235</v>
      </c>
      <c r="I224" s="694">
        <v>419</v>
      </c>
      <c r="J224" s="694">
        <v>312</v>
      </c>
      <c r="K224" s="694">
        <f t="shared" si="34"/>
        <v>682</v>
      </c>
      <c r="L224" s="694">
        <v>118</v>
      </c>
      <c r="M224" s="694">
        <f>I224/2</f>
        <v>209.5</v>
      </c>
      <c r="N224" s="694">
        <f>J224/2</f>
        <v>156</v>
      </c>
      <c r="O224" s="694">
        <f>K224+L224+M224+N224</f>
        <v>1165.5</v>
      </c>
      <c r="P224" s="694">
        <v>118</v>
      </c>
      <c r="Q224" s="696">
        <f>I224/2</f>
        <v>209.5</v>
      </c>
      <c r="R224" s="696">
        <f>J224/2</f>
        <v>156</v>
      </c>
      <c r="S224" s="694">
        <f>P224+Q224+R224</f>
        <v>483.5</v>
      </c>
      <c r="T224" s="694"/>
      <c r="U224" s="694"/>
      <c r="V224" s="694">
        <v>277</v>
      </c>
      <c r="W224" s="694" t="e">
        <f>'[1]убор.пл. ф-8 сост. 01.01.11 г.'!S241+'[1]убор.пл. ф-8 сост. 01.01.11 г.'!W241+'[1]убор.пл. ф-8 сост. 01.01.11 г.'!AC241+'[1]убор.пл. ф-8 сост. 01.01.11 г.'!AD241</f>
        <v>#REF!</v>
      </c>
      <c r="X224" s="694"/>
      <c r="Y224" s="694">
        <v>6018</v>
      </c>
      <c r="Z224" s="694">
        <v>50</v>
      </c>
      <c r="AA224" s="694">
        <v>18</v>
      </c>
      <c r="AB224" s="694">
        <f>F224+V224+Y224+Z224</f>
        <v>7993</v>
      </c>
      <c r="AC224" s="117"/>
      <c r="AD224" s="118">
        <f t="shared" si="41"/>
        <v>1165.5</v>
      </c>
      <c r="AE224" s="118"/>
      <c r="AF224" s="118" t="e">
        <f>#REF!-AE224</f>
        <v>#REF!</v>
      </c>
      <c r="AG224" s="118"/>
      <c r="AH224" s="118" t="e">
        <f>#REF!-AG224</f>
        <v>#REF!</v>
      </c>
      <c r="AI224" s="118">
        <v>18</v>
      </c>
      <c r="AJ224" s="128"/>
      <c r="AK224" s="120" t="e">
        <f t="shared" si="32"/>
        <v>#REF!</v>
      </c>
      <c r="AL224" s="109">
        <f t="shared" si="39"/>
        <v>0</v>
      </c>
      <c r="AM224" s="109">
        <f t="shared" si="39"/>
        <v>0</v>
      </c>
    </row>
    <row r="225" spans="1:39" s="109" customFormat="1" ht="13.5" x14ac:dyDescent="0.25">
      <c r="A225" s="121">
        <v>22</v>
      </c>
      <c r="B225" s="122" t="s">
        <v>158</v>
      </c>
      <c r="C225" s="122">
        <v>12</v>
      </c>
      <c r="D225" s="122">
        <v>2</v>
      </c>
      <c r="E225" s="123"/>
      <c r="F225" s="674"/>
      <c r="G225" s="674"/>
      <c r="H225" s="695"/>
      <c r="I225" s="695"/>
      <c r="J225" s="695"/>
      <c r="K225" s="695">
        <f t="shared" si="34"/>
        <v>0</v>
      </c>
      <c r="L225" s="695">
        <f t="shared" si="35"/>
        <v>0</v>
      </c>
      <c r="M225" s="695">
        <f t="shared" si="35"/>
        <v>0</v>
      </c>
      <c r="N225" s="695">
        <f t="shared" si="35"/>
        <v>0</v>
      </c>
      <c r="O225" s="695">
        <f>K225+L225+M225+N225</f>
        <v>0</v>
      </c>
      <c r="P225" s="695">
        <f>H225/2</f>
        <v>0</v>
      </c>
      <c r="Q225" s="697">
        <f>M225/2</f>
        <v>0</v>
      </c>
      <c r="R225" s="697">
        <f>N225/2</f>
        <v>0</v>
      </c>
      <c r="S225" s="695">
        <f t="shared" si="38"/>
        <v>0</v>
      </c>
      <c r="T225" s="695"/>
      <c r="U225" s="695"/>
      <c r="V225" s="695">
        <v>0</v>
      </c>
      <c r="W225" s="695" t="e">
        <f>'[1]убор.пл. ф-8 сост. 01.01.11 г.'!S242+'[1]убор.пл. ф-8 сост. 01.01.11 г.'!W242+'[1]убор.пл. ф-8 сост. 01.01.11 г.'!AC242+'[1]убор.пл. ф-8 сост. 01.01.11 г.'!AD242</f>
        <v>#REF!</v>
      </c>
      <c r="X225" s="695"/>
      <c r="Y225" s="695">
        <v>0</v>
      </c>
      <c r="Z225" s="695">
        <v>0</v>
      </c>
      <c r="AA225" s="695"/>
      <c r="AB225" s="695">
        <v>0</v>
      </c>
      <c r="AC225" s="117"/>
      <c r="AD225" s="118">
        <f t="shared" si="41"/>
        <v>0</v>
      </c>
      <c r="AE225" s="118"/>
      <c r="AF225" s="118" t="e">
        <f>#REF!-AE225</f>
        <v>#REF!</v>
      </c>
      <c r="AG225" s="118"/>
      <c r="AH225" s="118" t="e">
        <f>#REF!-AG225</f>
        <v>#REF!</v>
      </c>
      <c r="AI225" s="118"/>
      <c r="AJ225" s="118"/>
      <c r="AK225" s="120" t="e">
        <f t="shared" si="32"/>
        <v>#REF!</v>
      </c>
      <c r="AL225" s="109">
        <f t="shared" si="39"/>
        <v>0</v>
      </c>
      <c r="AM225" s="109">
        <f t="shared" si="39"/>
        <v>0</v>
      </c>
    </row>
    <row r="226" spans="1:39" s="109" customFormat="1" ht="13.5" x14ac:dyDescent="0.25">
      <c r="A226" s="121">
        <v>23</v>
      </c>
      <c r="B226" s="122" t="s">
        <v>158</v>
      </c>
      <c r="C226" s="122">
        <v>12</v>
      </c>
      <c r="D226" s="122">
        <v>3</v>
      </c>
      <c r="E226" s="123"/>
      <c r="F226" s="123">
        <v>1657</v>
      </c>
      <c r="G226" s="123">
        <v>696</v>
      </c>
      <c r="H226" s="118">
        <v>325</v>
      </c>
      <c r="I226" s="118">
        <v>393</v>
      </c>
      <c r="J226" s="118">
        <v>243</v>
      </c>
      <c r="K226" s="123">
        <f t="shared" si="34"/>
        <v>696</v>
      </c>
      <c r="L226" s="124">
        <f t="shared" si="35"/>
        <v>162.5</v>
      </c>
      <c r="M226" s="124">
        <f t="shared" si="35"/>
        <v>196.5</v>
      </c>
      <c r="N226" s="124">
        <f t="shared" si="35"/>
        <v>121.5</v>
      </c>
      <c r="O226" s="124">
        <f>K226+L226+M226+N226</f>
        <v>1176.5</v>
      </c>
      <c r="P226" s="124">
        <f t="shared" ref="P226:R227" si="42">H226/2</f>
        <v>162.5</v>
      </c>
      <c r="Q226" s="124">
        <f t="shared" si="42"/>
        <v>196.5</v>
      </c>
      <c r="R226" s="124">
        <f t="shared" si="42"/>
        <v>121.5</v>
      </c>
      <c r="S226" s="118">
        <f t="shared" si="38"/>
        <v>480.5</v>
      </c>
      <c r="T226" s="123"/>
      <c r="U226" s="123"/>
      <c r="V226" s="118">
        <v>270</v>
      </c>
      <c r="W226" s="123" t="e">
        <f>'[1]убор.пл. ф-8 сост. 01.01.11 г.'!S243+'[1]убор.пл. ф-8 сост. 01.01.11 г.'!W243+'[1]убор.пл. ф-8 сост. 01.01.11 г.'!AC243+'[1]убор.пл. ф-8 сост. 01.01.11 г.'!AD243</f>
        <v>#REF!</v>
      </c>
      <c r="X226" s="123"/>
      <c r="Y226" s="123">
        <v>6357</v>
      </c>
      <c r="Z226" s="118">
        <v>0</v>
      </c>
      <c r="AA226" s="123"/>
      <c r="AB226" s="118">
        <v>8284</v>
      </c>
      <c r="AC226" s="117"/>
      <c r="AD226" s="118">
        <f t="shared" si="41"/>
        <v>1176.5</v>
      </c>
      <c r="AE226" s="118"/>
      <c r="AF226" s="118" t="e">
        <f>#REF!-AE226</f>
        <v>#REF!</v>
      </c>
      <c r="AG226" s="118"/>
      <c r="AH226" s="118" t="e">
        <f>#REF!-AG226</f>
        <v>#REF!</v>
      </c>
      <c r="AI226" s="118"/>
      <c r="AJ226" s="118"/>
      <c r="AK226" s="120" t="e">
        <f t="shared" si="32"/>
        <v>#REF!</v>
      </c>
      <c r="AL226" s="109">
        <f t="shared" si="39"/>
        <v>0</v>
      </c>
      <c r="AM226" s="109">
        <f t="shared" si="39"/>
        <v>0</v>
      </c>
    </row>
    <row r="227" spans="1:39" s="109" customFormat="1" ht="13.5" x14ac:dyDescent="0.25">
      <c r="A227" s="121">
        <v>24</v>
      </c>
      <c r="B227" s="122" t="s">
        <v>158</v>
      </c>
      <c r="C227" s="122">
        <v>12</v>
      </c>
      <c r="D227" s="122">
        <v>4</v>
      </c>
      <c r="E227" s="123">
        <f>53.1</f>
        <v>53.1</v>
      </c>
      <c r="F227" s="123">
        <f>2131+E227</f>
        <v>2184.1</v>
      </c>
      <c r="G227" s="123">
        <v>417.1</v>
      </c>
      <c r="H227" s="118">
        <v>157</v>
      </c>
      <c r="I227" s="118">
        <v>148</v>
      </c>
      <c r="J227" s="118">
        <v>1462</v>
      </c>
      <c r="K227" s="123">
        <f t="shared" si="34"/>
        <v>417.1</v>
      </c>
      <c r="L227" s="124">
        <f t="shared" si="35"/>
        <v>78.5</v>
      </c>
      <c r="M227" s="124">
        <f t="shared" si="35"/>
        <v>74</v>
      </c>
      <c r="N227" s="124">
        <f t="shared" si="35"/>
        <v>731</v>
      </c>
      <c r="O227" s="124">
        <f>K227+L227+M227+N227</f>
        <v>1300.5999999999999</v>
      </c>
      <c r="P227" s="124">
        <f t="shared" si="42"/>
        <v>78.5</v>
      </c>
      <c r="Q227" s="124">
        <f t="shared" si="42"/>
        <v>74</v>
      </c>
      <c r="R227" s="124">
        <f t="shared" si="42"/>
        <v>731</v>
      </c>
      <c r="S227" s="118">
        <f t="shared" si="38"/>
        <v>883.5</v>
      </c>
      <c r="T227" s="123"/>
      <c r="U227" s="123"/>
      <c r="V227" s="118">
        <v>0</v>
      </c>
      <c r="W227" s="123" t="e">
        <f>'[1]убор.пл. ф-8 сост. 01.01.11 г.'!S244+'[1]убор.пл. ф-8 сост. 01.01.11 г.'!W244+'[1]убор.пл. ф-8 сост. 01.01.11 г.'!AC244+'[1]убор.пл. ф-8 сост. 01.01.11 г.'!AD244</f>
        <v>#REF!</v>
      </c>
      <c r="X227" s="123"/>
      <c r="Y227" s="123">
        <f>1921-E227</f>
        <v>1867.9</v>
      </c>
      <c r="Z227" s="118">
        <v>1228</v>
      </c>
      <c r="AA227" s="123"/>
      <c r="AB227" s="118">
        <v>5280</v>
      </c>
      <c r="AC227" s="117"/>
      <c r="AD227" s="118">
        <f t="shared" si="41"/>
        <v>1300.5999999999999</v>
      </c>
      <c r="AE227" s="118"/>
      <c r="AF227" s="118" t="e">
        <f>#REF!-AE227</f>
        <v>#REF!</v>
      </c>
      <c r="AG227" s="128">
        <v>84</v>
      </c>
      <c r="AH227" s="118" t="e">
        <f>#REF!-AG227</f>
        <v>#REF!</v>
      </c>
      <c r="AI227" s="118"/>
      <c r="AJ227" s="118"/>
      <c r="AK227" s="120" t="e">
        <f t="shared" si="32"/>
        <v>#REF!</v>
      </c>
      <c r="AL227" s="109">
        <f t="shared" si="39"/>
        <v>0</v>
      </c>
      <c r="AM227" s="109">
        <f t="shared" si="39"/>
        <v>0</v>
      </c>
    </row>
    <row r="228" spans="1:39" s="109" customFormat="1" ht="13.5" x14ac:dyDescent="0.25">
      <c r="A228" s="121">
        <v>25</v>
      </c>
      <c r="B228" s="122" t="s">
        <v>158</v>
      </c>
      <c r="C228" s="122">
        <v>13</v>
      </c>
      <c r="D228" s="122">
        <v>1</v>
      </c>
      <c r="E228" s="123"/>
      <c r="F228" s="123">
        <v>780</v>
      </c>
      <c r="G228" s="673">
        <v>524</v>
      </c>
      <c r="H228" s="694">
        <v>254</v>
      </c>
      <c r="I228" s="694">
        <v>727</v>
      </c>
      <c r="J228" s="694">
        <v>0</v>
      </c>
      <c r="K228" s="694">
        <f t="shared" si="34"/>
        <v>524</v>
      </c>
      <c r="L228" s="694">
        <v>127</v>
      </c>
      <c r="M228" s="694">
        <v>364</v>
      </c>
      <c r="N228" s="694">
        <f t="shared" si="35"/>
        <v>0</v>
      </c>
      <c r="O228" s="696">
        <f>K228+L228+M228+N228</f>
        <v>1015</v>
      </c>
      <c r="P228" s="694">
        <v>127</v>
      </c>
      <c r="Q228" s="696">
        <v>364</v>
      </c>
      <c r="R228" s="696">
        <f>J228/2</f>
        <v>0</v>
      </c>
      <c r="S228" s="694">
        <f t="shared" si="38"/>
        <v>491</v>
      </c>
      <c r="T228" s="694"/>
      <c r="U228" s="694"/>
      <c r="V228" s="694">
        <v>284</v>
      </c>
      <c r="W228" s="123" t="e">
        <f>'[1]убор.пл. ф-8 сост. 01.01.11 г.'!S245+'[1]убор.пл. ф-8 сост. 01.01.11 г.'!W245+'[1]убор.пл. ф-8 сост. 01.01.11 г.'!AC245+'[1]убор.пл. ф-8 сост. 01.01.11 г.'!AD245</f>
        <v>#REF!</v>
      </c>
      <c r="X228" s="123"/>
      <c r="Y228" s="123">
        <v>3194</v>
      </c>
      <c r="Z228" s="118">
        <v>0</v>
      </c>
      <c r="AA228" s="123">
        <v>10</v>
      </c>
      <c r="AB228" s="118">
        <v>4258</v>
      </c>
      <c r="AC228" s="117"/>
      <c r="AD228" s="118">
        <f t="shared" si="41"/>
        <v>1015</v>
      </c>
      <c r="AE228" s="118"/>
      <c r="AF228" s="118" t="e">
        <f>#REF!-AE228</f>
        <v>#REF!</v>
      </c>
      <c r="AG228" s="128">
        <v>12</v>
      </c>
      <c r="AH228" s="118" t="e">
        <f>#REF!-AG228</f>
        <v>#REF!</v>
      </c>
      <c r="AI228" s="118">
        <v>10</v>
      </c>
      <c r="AJ228" s="128"/>
      <c r="AK228" s="120" t="e">
        <f t="shared" si="32"/>
        <v>#REF!</v>
      </c>
      <c r="AL228" s="109">
        <f t="shared" si="39"/>
        <v>0</v>
      </c>
      <c r="AM228" s="109">
        <f t="shared" si="39"/>
        <v>0</v>
      </c>
    </row>
    <row r="229" spans="1:39" s="109" customFormat="1" ht="13.5" x14ac:dyDescent="0.25">
      <c r="A229" s="121">
        <v>26</v>
      </c>
      <c r="B229" s="122" t="s">
        <v>158</v>
      </c>
      <c r="C229" s="122">
        <v>13</v>
      </c>
      <c r="D229" s="122">
        <v>2</v>
      </c>
      <c r="E229" s="123"/>
      <c r="F229" s="123">
        <v>725</v>
      </c>
      <c r="G229" s="674"/>
      <c r="H229" s="695"/>
      <c r="I229" s="695"/>
      <c r="J229" s="695"/>
      <c r="K229" s="695">
        <f t="shared" si="34"/>
        <v>0</v>
      </c>
      <c r="L229" s="695">
        <f t="shared" si="35"/>
        <v>0</v>
      </c>
      <c r="M229" s="695">
        <f t="shared" si="35"/>
        <v>0</v>
      </c>
      <c r="N229" s="695">
        <f t="shared" si="35"/>
        <v>0</v>
      </c>
      <c r="O229" s="697"/>
      <c r="P229" s="695">
        <f t="shared" ref="P229:R244" si="43">H229/2</f>
        <v>0</v>
      </c>
      <c r="Q229" s="697">
        <f>M229/2</f>
        <v>0</v>
      </c>
      <c r="R229" s="697">
        <f>N229/2</f>
        <v>0</v>
      </c>
      <c r="S229" s="695">
        <f t="shared" si="38"/>
        <v>0</v>
      </c>
      <c r="T229" s="695"/>
      <c r="U229" s="695"/>
      <c r="V229" s="695">
        <v>0</v>
      </c>
      <c r="W229" s="123" t="e">
        <f>'[1]убор.пл. ф-8 сост. 01.01.11 г.'!S246+'[1]убор.пл. ф-8 сост. 01.01.11 г.'!W246+'[1]убор.пл. ф-8 сост. 01.01.11 г.'!AC246+'[1]убор.пл. ф-8 сост. 01.01.11 г.'!AD246</f>
        <v>#REF!</v>
      </c>
      <c r="X229" s="123"/>
      <c r="Y229" s="123">
        <v>2311</v>
      </c>
      <c r="Z229" s="118">
        <v>0</v>
      </c>
      <c r="AA229" s="123"/>
      <c r="AB229" s="118">
        <v>3036</v>
      </c>
      <c r="AC229" s="117"/>
      <c r="AD229" s="118">
        <f t="shared" si="41"/>
        <v>0</v>
      </c>
      <c r="AE229" s="118"/>
      <c r="AF229" s="118" t="e">
        <f>#REF!-AE229</f>
        <v>#REF!</v>
      </c>
      <c r="AG229" s="118"/>
      <c r="AH229" s="118" t="e">
        <f>#REF!-AG229</f>
        <v>#REF!</v>
      </c>
      <c r="AI229" s="118"/>
      <c r="AJ229" s="118"/>
      <c r="AK229" s="120" t="e">
        <f t="shared" si="32"/>
        <v>#REF!</v>
      </c>
      <c r="AL229" s="109">
        <f t="shared" si="39"/>
        <v>0</v>
      </c>
      <c r="AM229" s="109">
        <f t="shared" si="39"/>
        <v>0</v>
      </c>
    </row>
    <row r="230" spans="1:39" s="109" customFormat="1" ht="13.5" x14ac:dyDescent="0.25">
      <c r="A230" s="121">
        <v>27</v>
      </c>
      <c r="B230" s="122" t="s">
        <v>158</v>
      </c>
      <c r="C230" s="122">
        <v>14</v>
      </c>
      <c r="D230" s="122">
        <v>1</v>
      </c>
      <c r="E230" s="123"/>
      <c r="F230" s="123">
        <v>0</v>
      </c>
      <c r="G230" s="673">
        <v>1088</v>
      </c>
      <c r="H230" s="694">
        <v>252</v>
      </c>
      <c r="I230" s="694">
        <v>182</v>
      </c>
      <c r="J230" s="694">
        <v>546</v>
      </c>
      <c r="K230" s="123">
        <f t="shared" si="34"/>
        <v>1088</v>
      </c>
      <c r="L230" s="124">
        <f t="shared" si="35"/>
        <v>126</v>
      </c>
      <c r="M230" s="124">
        <f t="shared" si="35"/>
        <v>91</v>
      </c>
      <c r="N230" s="124">
        <f t="shared" si="35"/>
        <v>273</v>
      </c>
      <c r="O230" s="124">
        <f t="shared" ref="O230:O285" si="44">K230+L230+M230+N230</f>
        <v>1578</v>
      </c>
      <c r="P230" s="124">
        <f t="shared" si="43"/>
        <v>126</v>
      </c>
      <c r="Q230" s="124">
        <f>I230/2</f>
        <v>91</v>
      </c>
      <c r="R230" s="124">
        <f>J230/2</f>
        <v>273</v>
      </c>
      <c r="S230" s="118">
        <f t="shared" si="38"/>
        <v>490</v>
      </c>
      <c r="T230" s="123"/>
      <c r="U230" s="123"/>
      <c r="V230" s="118">
        <v>0</v>
      </c>
      <c r="W230" s="123"/>
      <c r="X230" s="123"/>
      <c r="Y230" s="123">
        <v>0</v>
      </c>
      <c r="Z230" s="118">
        <v>0</v>
      </c>
      <c r="AA230" s="123">
        <v>0</v>
      </c>
      <c r="AB230" s="118">
        <v>0</v>
      </c>
      <c r="AC230" s="117"/>
      <c r="AD230" s="118">
        <f t="shared" si="41"/>
        <v>1578</v>
      </c>
      <c r="AE230" s="118"/>
      <c r="AF230" s="118" t="e">
        <f>#REF!-AE230</f>
        <v>#REF!</v>
      </c>
      <c r="AG230" s="118"/>
      <c r="AH230" s="118" t="e">
        <f>#REF!-AG230</f>
        <v>#REF!</v>
      </c>
      <c r="AI230" s="118"/>
      <c r="AJ230" s="118"/>
      <c r="AK230" s="120">
        <f t="shared" si="32"/>
        <v>2068</v>
      </c>
      <c r="AL230" s="109">
        <f t="shared" si="39"/>
        <v>0</v>
      </c>
      <c r="AM230" s="109">
        <f t="shared" si="39"/>
        <v>0</v>
      </c>
    </row>
    <row r="231" spans="1:39" s="109" customFormat="1" ht="13.5" x14ac:dyDescent="0.25">
      <c r="A231" s="121">
        <v>28</v>
      </c>
      <c r="B231" s="122" t="s">
        <v>158</v>
      </c>
      <c r="C231" s="122">
        <v>14</v>
      </c>
      <c r="D231" s="122">
        <v>2</v>
      </c>
      <c r="E231" s="123"/>
      <c r="F231" s="123">
        <f>2041+27</f>
        <v>2068</v>
      </c>
      <c r="G231" s="674"/>
      <c r="H231" s="695"/>
      <c r="I231" s="695"/>
      <c r="J231" s="695"/>
      <c r="K231" s="123">
        <f t="shared" si="34"/>
        <v>0</v>
      </c>
      <c r="L231" s="124">
        <f t="shared" si="35"/>
        <v>0</v>
      </c>
      <c r="M231" s="124">
        <f t="shared" si="35"/>
        <v>0</v>
      </c>
      <c r="N231" s="124">
        <f t="shared" si="35"/>
        <v>0</v>
      </c>
      <c r="O231" s="124">
        <f t="shared" si="44"/>
        <v>0</v>
      </c>
      <c r="P231" s="124">
        <f t="shared" si="43"/>
        <v>0</v>
      </c>
      <c r="Q231" s="124">
        <f>M231/2</f>
        <v>0</v>
      </c>
      <c r="R231" s="124">
        <f>N231/2</f>
        <v>0</v>
      </c>
      <c r="S231" s="118">
        <f t="shared" si="38"/>
        <v>0</v>
      </c>
      <c r="T231" s="123"/>
      <c r="U231" s="123"/>
      <c r="V231" s="118">
        <v>222</v>
      </c>
      <c r="W231" s="123" t="e">
        <f>'[1]убор.пл. ф-8 сост. 01.01.11 г.'!S248+'[1]убор.пл. ф-8 сост. 01.01.11 г.'!W248+'[1]убор.пл. ф-8 сост. 01.01.11 г.'!AC248+'[1]убор.пл. ф-8 сост. 01.01.11 г.'!AD248</f>
        <v>#REF!</v>
      </c>
      <c r="X231" s="123"/>
      <c r="Y231" s="123">
        <v>5571</v>
      </c>
      <c r="Z231" s="118">
        <v>0</v>
      </c>
      <c r="AA231" s="123"/>
      <c r="AB231" s="118">
        <v>7861</v>
      </c>
      <c r="AC231" s="117"/>
      <c r="AD231" s="118">
        <f t="shared" si="41"/>
        <v>0</v>
      </c>
      <c r="AE231" s="118"/>
      <c r="AF231" s="118" t="e">
        <f>#REF!-AE231</f>
        <v>#REF!</v>
      </c>
      <c r="AG231" s="118"/>
      <c r="AH231" s="118" t="e">
        <f>#REF!-AG231</f>
        <v>#REF!</v>
      </c>
      <c r="AI231" s="118"/>
      <c r="AJ231" s="118"/>
      <c r="AK231" s="120" t="e">
        <f t="shared" si="32"/>
        <v>#REF!</v>
      </c>
      <c r="AL231" s="109">
        <f t="shared" si="39"/>
        <v>0</v>
      </c>
      <c r="AM231" s="109">
        <f t="shared" si="39"/>
        <v>0</v>
      </c>
    </row>
    <row r="232" spans="1:39" s="109" customFormat="1" ht="13.5" x14ac:dyDescent="0.25">
      <c r="A232" s="121">
        <v>29</v>
      </c>
      <c r="B232" s="122" t="s">
        <v>158</v>
      </c>
      <c r="C232" s="122">
        <v>15</v>
      </c>
      <c r="D232" s="122">
        <v>1</v>
      </c>
      <c r="E232" s="123"/>
      <c r="F232" s="123">
        <v>992</v>
      </c>
      <c r="G232" s="673">
        <v>662</v>
      </c>
      <c r="H232" s="694">
        <v>523</v>
      </c>
      <c r="I232" s="694">
        <v>457</v>
      </c>
      <c r="J232" s="694">
        <v>261</v>
      </c>
      <c r="K232" s="673">
        <f t="shared" si="34"/>
        <v>662</v>
      </c>
      <c r="L232" s="673">
        <f t="shared" si="35"/>
        <v>261.5</v>
      </c>
      <c r="M232" s="673">
        <f t="shared" si="35"/>
        <v>228.5</v>
      </c>
      <c r="N232" s="673">
        <f t="shared" si="35"/>
        <v>130.5</v>
      </c>
      <c r="O232" s="673">
        <f t="shared" si="44"/>
        <v>1282.5</v>
      </c>
      <c r="P232" s="673">
        <f t="shared" si="43"/>
        <v>261.5</v>
      </c>
      <c r="Q232" s="696">
        <f>I232/2</f>
        <v>228.5</v>
      </c>
      <c r="R232" s="696">
        <f>J232/2</f>
        <v>130.5</v>
      </c>
      <c r="S232" s="694">
        <f t="shared" si="38"/>
        <v>620.5</v>
      </c>
      <c r="T232" s="673"/>
      <c r="U232" s="673"/>
      <c r="V232" s="694">
        <v>143</v>
      </c>
      <c r="W232" s="123" t="e">
        <f>'[1]убор.пл. ф-8 сост. 01.01.11 г.'!S249+'[1]убор.пл. ф-8 сост. 01.01.11 г.'!W249+'[1]убор.пл. ф-8 сост. 01.01.11 г.'!AC249+'[1]убор.пл. ф-8 сост. 01.01.11 г.'!AD249</f>
        <v>#REF!</v>
      </c>
      <c r="X232" s="123"/>
      <c r="Y232" s="123">
        <v>2299</v>
      </c>
      <c r="Z232" s="118">
        <v>0</v>
      </c>
      <c r="AA232" s="123">
        <v>10</v>
      </c>
      <c r="AB232" s="118">
        <v>3434</v>
      </c>
      <c r="AC232" s="117"/>
      <c r="AD232" s="118">
        <f t="shared" si="41"/>
        <v>1282.5</v>
      </c>
      <c r="AE232" s="118"/>
      <c r="AF232" s="118" t="e">
        <f>#REF!-AE232</f>
        <v>#REF!</v>
      </c>
      <c r="AG232" s="118"/>
      <c r="AH232" s="118" t="e">
        <f>#REF!-AG232</f>
        <v>#REF!</v>
      </c>
      <c r="AI232" s="118">
        <v>10</v>
      </c>
      <c r="AJ232" s="128"/>
      <c r="AK232" s="120" t="e">
        <f t="shared" si="32"/>
        <v>#REF!</v>
      </c>
      <c r="AL232" s="109">
        <f t="shared" si="39"/>
        <v>0</v>
      </c>
      <c r="AM232" s="109">
        <f t="shared" si="39"/>
        <v>0</v>
      </c>
    </row>
    <row r="233" spans="1:39" s="109" customFormat="1" ht="13.5" x14ac:dyDescent="0.25">
      <c r="A233" s="121">
        <v>30</v>
      </c>
      <c r="B233" s="122" t="s">
        <v>158</v>
      </c>
      <c r="C233" s="122">
        <v>15</v>
      </c>
      <c r="D233" s="122">
        <v>2</v>
      </c>
      <c r="E233" s="123"/>
      <c r="F233" s="123">
        <v>911</v>
      </c>
      <c r="G233" s="674"/>
      <c r="H233" s="695"/>
      <c r="I233" s="695"/>
      <c r="J233" s="695"/>
      <c r="K233" s="674">
        <f t="shared" si="34"/>
        <v>0</v>
      </c>
      <c r="L233" s="674">
        <f t="shared" si="35"/>
        <v>0</v>
      </c>
      <c r="M233" s="674">
        <f t="shared" si="35"/>
        <v>0</v>
      </c>
      <c r="N233" s="674">
        <f t="shared" si="35"/>
        <v>0</v>
      </c>
      <c r="O233" s="674">
        <f t="shared" si="44"/>
        <v>0</v>
      </c>
      <c r="P233" s="674">
        <f t="shared" si="43"/>
        <v>0</v>
      </c>
      <c r="Q233" s="697">
        <f>M233/2</f>
        <v>0</v>
      </c>
      <c r="R233" s="697">
        <f>N233/2</f>
        <v>0</v>
      </c>
      <c r="S233" s="695">
        <f t="shared" si="38"/>
        <v>0</v>
      </c>
      <c r="T233" s="674"/>
      <c r="U233" s="674"/>
      <c r="V233" s="695">
        <v>0</v>
      </c>
      <c r="W233" s="123" t="e">
        <f>'[1]убор.пл. ф-8 сост. 01.01.11 г.'!S250+'[1]убор.пл. ф-8 сост. 01.01.11 г.'!W250+'[1]убор.пл. ф-8 сост. 01.01.11 г.'!AC250+'[1]убор.пл. ф-8 сост. 01.01.11 г.'!AD250</f>
        <v>#REF!</v>
      </c>
      <c r="X233" s="123"/>
      <c r="Y233" s="123">
        <v>2588</v>
      </c>
      <c r="Z233" s="118">
        <v>0</v>
      </c>
      <c r="AA233" s="123"/>
      <c r="AB233" s="118">
        <v>3499</v>
      </c>
      <c r="AC233" s="117"/>
      <c r="AD233" s="118">
        <f t="shared" si="41"/>
        <v>0</v>
      </c>
      <c r="AE233" s="118"/>
      <c r="AF233" s="118" t="e">
        <f>#REF!-AE233</f>
        <v>#REF!</v>
      </c>
      <c r="AG233" s="118"/>
      <c r="AH233" s="118" t="e">
        <f>#REF!-AG233</f>
        <v>#REF!</v>
      </c>
      <c r="AI233" s="118"/>
      <c r="AJ233" s="118"/>
      <c r="AK233" s="120" t="e">
        <f t="shared" si="32"/>
        <v>#REF!</v>
      </c>
      <c r="AL233" s="109">
        <f t="shared" si="39"/>
        <v>0</v>
      </c>
      <c r="AM233" s="109">
        <f t="shared" si="39"/>
        <v>0</v>
      </c>
    </row>
    <row r="234" spans="1:39" s="109" customFormat="1" ht="13.5" x14ac:dyDescent="0.25">
      <c r="A234" s="121">
        <v>31</v>
      </c>
      <c r="B234" s="122" t="s">
        <v>158</v>
      </c>
      <c r="C234" s="122">
        <v>16</v>
      </c>
      <c r="D234" s="122">
        <v>1</v>
      </c>
      <c r="E234" s="123"/>
      <c r="F234" s="673">
        <v>2870</v>
      </c>
      <c r="G234" s="696">
        <v>890</v>
      </c>
      <c r="H234" s="694">
        <v>227</v>
      </c>
      <c r="I234" s="694">
        <v>0</v>
      </c>
      <c r="J234" s="694">
        <v>1753</v>
      </c>
      <c r="K234" s="696">
        <f t="shared" si="34"/>
        <v>890</v>
      </c>
      <c r="L234" s="696">
        <f t="shared" si="35"/>
        <v>113.5</v>
      </c>
      <c r="M234" s="696">
        <f t="shared" si="35"/>
        <v>0</v>
      </c>
      <c r="N234" s="696">
        <f t="shared" si="35"/>
        <v>876.5</v>
      </c>
      <c r="O234" s="696">
        <f t="shared" si="44"/>
        <v>1880</v>
      </c>
      <c r="P234" s="673">
        <f t="shared" si="43"/>
        <v>113.5</v>
      </c>
      <c r="Q234" s="696">
        <f>I234/2</f>
        <v>0</v>
      </c>
      <c r="R234" s="696">
        <f>J234/2</f>
        <v>876.5</v>
      </c>
      <c r="S234" s="694">
        <f t="shared" si="38"/>
        <v>990</v>
      </c>
      <c r="T234" s="696"/>
      <c r="U234" s="696"/>
      <c r="V234" s="696">
        <v>0</v>
      </c>
      <c r="W234" s="696"/>
      <c r="X234" s="696"/>
      <c r="Y234" s="696">
        <v>0</v>
      </c>
      <c r="Z234" s="696">
        <v>0</v>
      </c>
      <c r="AA234" s="696">
        <v>0</v>
      </c>
      <c r="AB234" s="696">
        <v>0</v>
      </c>
      <c r="AC234" s="117"/>
      <c r="AD234" s="118">
        <f>O235-AC234</f>
        <v>0</v>
      </c>
      <c r="AE234" s="118"/>
      <c r="AF234" s="118" t="e">
        <f>#REF!-AE234</f>
        <v>#REF!</v>
      </c>
      <c r="AG234" s="118"/>
      <c r="AH234" s="118" t="e">
        <f>#REF!-AG234</f>
        <v>#REF!</v>
      </c>
      <c r="AI234" s="118"/>
      <c r="AJ234" s="118"/>
      <c r="AK234" s="120">
        <f>O235+S235+T235+W235</f>
        <v>7199</v>
      </c>
      <c r="AL234" s="109">
        <f t="shared" si="39"/>
        <v>0</v>
      </c>
      <c r="AM234" s="109">
        <f t="shared" si="39"/>
        <v>0</v>
      </c>
    </row>
    <row r="235" spans="1:39" s="109" customFormat="1" ht="13.5" x14ac:dyDescent="0.25">
      <c r="A235" s="121">
        <v>32</v>
      </c>
      <c r="B235" s="122" t="s">
        <v>158</v>
      </c>
      <c r="C235" s="122">
        <v>16</v>
      </c>
      <c r="D235" s="122">
        <v>2</v>
      </c>
      <c r="E235" s="123"/>
      <c r="F235" s="674"/>
      <c r="G235" s="697"/>
      <c r="H235" s="695"/>
      <c r="I235" s="695"/>
      <c r="J235" s="695"/>
      <c r="K235" s="697">
        <f t="shared" si="34"/>
        <v>0</v>
      </c>
      <c r="L235" s="697">
        <f t="shared" si="35"/>
        <v>0</v>
      </c>
      <c r="M235" s="697">
        <f t="shared" si="35"/>
        <v>0</v>
      </c>
      <c r="N235" s="697">
        <f t="shared" si="35"/>
        <v>0</v>
      </c>
      <c r="O235" s="697">
        <f t="shared" si="44"/>
        <v>0</v>
      </c>
      <c r="P235" s="674">
        <f t="shared" si="43"/>
        <v>0</v>
      </c>
      <c r="Q235" s="697">
        <f>M235/2</f>
        <v>0</v>
      </c>
      <c r="R235" s="697">
        <f>N235/2</f>
        <v>0</v>
      </c>
      <c r="S235" s="695">
        <f t="shared" si="38"/>
        <v>0</v>
      </c>
      <c r="T235" s="697"/>
      <c r="U235" s="697"/>
      <c r="V235" s="697">
        <v>67</v>
      </c>
      <c r="W235" s="697">
        <f>7199</f>
        <v>7199</v>
      </c>
      <c r="X235" s="697"/>
      <c r="Y235" s="697">
        <v>7199</v>
      </c>
      <c r="Z235" s="697">
        <v>0</v>
      </c>
      <c r="AA235" s="697"/>
      <c r="AB235" s="697">
        <v>10136</v>
      </c>
      <c r="AC235" s="117"/>
      <c r="AD235" s="118" t="e">
        <f>#REF!-AC235</f>
        <v>#REF!</v>
      </c>
      <c r="AE235" s="118"/>
      <c r="AF235" s="118" t="e">
        <f>#REF!-AE235</f>
        <v>#REF!</v>
      </c>
      <c r="AG235" s="118"/>
      <c r="AH235" s="118" t="e">
        <f>#REF!-AG235</f>
        <v>#REF!</v>
      </c>
      <c r="AI235" s="118"/>
      <c r="AJ235" s="118"/>
      <c r="AK235" s="120" t="e">
        <f>#REF!+#REF!+#REF!+#REF!</f>
        <v>#REF!</v>
      </c>
      <c r="AL235" s="109">
        <f t="shared" si="39"/>
        <v>0</v>
      </c>
      <c r="AM235" s="109">
        <f t="shared" si="39"/>
        <v>0</v>
      </c>
    </row>
    <row r="236" spans="1:39" s="109" customFormat="1" ht="13.5" x14ac:dyDescent="0.25">
      <c r="A236" s="121">
        <v>33</v>
      </c>
      <c r="B236" s="122" t="s">
        <v>158</v>
      </c>
      <c r="C236" s="122">
        <v>16</v>
      </c>
      <c r="D236" s="122">
        <v>4</v>
      </c>
      <c r="E236" s="123">
        <f>292.57</f>
        <v>292.57</v>
      </c>
      <c r="F236" s="123">
        <f>1413+E236</f>
        <v>1705.57</v>
      </c>
      <c r="G236" s="123">
        <v>911.57</v>
      </c>
      <c r="H236" s="118">
        <v>366</v>
      </c>
      <c r="I236" s="118">
        <v>238</v>
      </c>
      <c r="J236" s="118">
        <v>190</v>
      </c>
      <c r="K236" s="123">
        <f t="shared" si="34"/>
        <v>911.57</v>
      </c>
      <c r="L236" s="124">
        <f t="shared" si="35"/>
        <v>183</v>
      </c>
      <c r="M236" s="124">
        <f t="shared" si="35"/>
        <v>119</v>
      </c>
      <c r="N236" s="124">
        <f t="shared" si="35"/>
        <v>95</v>
      </c>
      <c r="O236" s="124">
        <f t="shared" si="44"/>
        <v>1308.5700000000002</v>
      </c>
      <c r="P236" s="124">
        <f t="shared" si="43"/>
        <v>183</v>
      </c>
      <c r="Q236" s="124">
        <f t="shared" si="43"/>
        <v>119</v>
      </c>
      <c r="R236" s="124">
        <f t="shared" si="43"/>
        <v>95</v>
      </c>
      <c r="S236" s="118">
        <f t="shared" si="38"/>
        <v>397</v>
      </c>
      <c r="T236" s="123"/>
      <c r="U236" s="123"/>
      <c r="V236" s="118">
        <v>127</v>
      </c>
      <c r="W236" s="123" t="e">
        <f>'[1]убор.пл. ф-8 сост. 01.01.11 г.'!S253+'[1]убор.пл. ф-8 сост. 01.01.11 г.'!W253+'[1]убор.пл. ф-8 сост. 01.01.11 г.'!AC253+'[1]убор.пл. ф-8 сост. 01.01.11 г.'!AD253</f>
        <v>#REF!</v>
      </c>
      <c r="X236" s="123"/>
      <c r="Y236" s="123">
        <f>1762-E236</f>
        <v>1469.43</v>
      </c>
      <c r="Z236" s="118">
        <v>0</v>
      </c>
      <c r="AA236" s="123"/>
      <c r="AB236" s="118">
        <v>3302</v>
      </c>
      <c r="AC236" s="117"/>
      <c r="AD236" s="118">
        <f t="shared" si="41"/>
        <v>1308.5700000000002</v>
      </c>
      <c r="AE236" s="118"/>
      <c r="AF236" s="118" t="e">
        <f>#REF!-AE236</f>
        <v>#REF!</v>
      </c>
      <c r="AG236" s="128"/>
      <c r="AH236" s="118" t="e">
        <f>#REF!-AG236</f>
        <v>#REF!</v>
      </c>
      <c r="AI236" s="118"/>
      <c r="AJ236" s="118"/>
      <c r="AK236" s="120" t="e">
        <f t="shared" ref="AK236:AK286" si="45">O236+S236+T236+W236</f>
        <v>#REF!</v>
      </c>
      <c r="AL236" s="109">
        <f t="shared" si="39"/>
        <v>0</v>
      </c>
      <c r="AM236" s="109">
        <f t="shared" si="39"/>
        <v>0</v>
      </c>
    </row>
    <row r="237" spans="1:39" s="109" customFormat="1" ht="13.5" x14ac:dyDescent="0.25">
      <c r="A237" s="121">
        <v>34</v>
      </c>
      <c r="B237" s="122" t="s">
        <v>158</v>
      </c>
      <c r="C237" s="122">
        <v>16</v>
      </c>
      <c r="D237" s="122">
        <v>5</v>
      </c>
      <c r="E237" s="123"/>
      <c r="F237" s="123">
        <v>2284</v>
      </c>
      <c r="G237" s="123">
        <v>1394</v>
      </c>
      <c r="H237" s="118">
        <v>144</v>
      </c>
      <c r="I237" s="118">
        <v>0</v>
      </c>
      <c r="J237" s="118">
        <v>746</v>
      </c>
      <c r="K237" s="123">
        <f t="shared" si="34"/>
        <v>1394</v>
      </c>
      <c r="L237" s="124">
        <f t="shared" si="35"/>
        <v>72</v>
      </c>
      <c r="M237" s="124">
        <f t="shared" si="35"/>
        <v>0</v>
      </c>
      <c r="N237" s="124">
        <f t="shared" si="35"/>
        <v>373</v>
      </c>
      <c r="O237" s="124">
        <f t="shared" si="44"/>
        <v>1839</v>
      </c>
      <c r="P237" s="124">
        <f t="shared" si="43"/>
        <v>72</v>
      </c>
      <c r="Q237" s="124">
        <f t="shared" si="43"/>
        <v>0</v>
      </c>
      <c r="R237" s="124">
        <f t="shared" si="43"/>
        <v>373</v>
      </c>
      <c r="S237" s="118">
        <f t="shared" si="38"/>
        <v>445</v>
      </c>
      <c r="T237" s="123"/>
      <c r="U237" s="123"/>
      <c r="V237" s="118">
        <v>188</v>
      </c>
      <c r="W237" s="123" t="e">
        <f>'[1]убор.пл. ф-8 сост. 01.01.11 г.'!S254+'[1]убор.пл. ф-8 сост. 01.01.11 г.'!W254+'[1]убор.пл. ф-8 сост. 01.01.11 г.'!AC254+'[1]убор.пл. ф-8 сост. 01.01.11 г.'!AD254</f>
        <v>#REF!</v>
      </c>
      <c r="X237" s="123"/>
      <c r="Y237" s="123">
        <v>4824</v>
      </c>
      <c r="Z237" s="118">
        <v>0</v>
      </c>
      <c r="AA237" s="123">
        <v>21</v>
      </c>
      <c r="AB237" s="118">
        <v>7296</v>
      </c>
      <c r="AC237" s="117">
        <v>30</v>
      </c>
      <c r="AD237" s="118">
        <f t="shared" si="41"/>
        <v>1809</v>
      </c>
      <c r="AE237" s="118"/>
      <c r="AF237" s="118" t="e">
        <f>#REF!-AE237</f>
        <v>#REF!</v>
      </c>
      <c r="AG237" s="128">
        <v>18</v>
      </c>
      <c r="AH237" s="118" t="e">
        <f>#REF!-AG237</f>
        <v>#REF!</v>
      </c>
      <c r="AI237" s="118">
        <v>21</v>
      </c>
      <c r="AJ237" s="128"/>
      <c r="AK237" s="120" t="e">
        <f t="shared" si="45"/>
        <v>#REF!</v>
      </c>
      <c r="AL237" s="109">
        <f t="shared" si="39"/>
        <v>0</v>
      </c>
      <c r="AM237" s="109">
        <f t="shared" si="39"/>
        <v>0</v>
      </c>
    </row>
    <row r="238" spans="1:39" s="109" customFormat="1" ht="13.5" x14ac:dyDescent="0.25">
      <c r="A238" s="121">
        <v>35</v>
      </c>
      <c r="B238" s="122" t="s">
        <v>158</v>
      </c>
      <c r="C238" s="122">
        <v>17</v>
      </c>
      <c r="D238" s="122">
        <v>1</v>
      </c>
      <c r="E238" s="123"/>
      <c r="F238" s="123">
        <v>801</v>
      </c>
      <c r="G238" s="673">
        <v>496</v>
      </c>
      <c r="H238" s="694">
        <v>274</v>
      </c>
      <c r="I238" s="694">
        <v>409</v>
      </c>
      <c r="J238" s="694">
        <v>401</v>
      </c>
      <c r="K238" s="673">
        <f t="shared" si="34"/>
        <v>496</v>
      </c>
      <c r="L238" s="673">
        <f t="shared" si="35"/>
        <v>137</v>
      </c>
      <c r="M238" s="673">
        <f t="shared" si="35"/>
        <v>204.5</v>
      </c>
      <c r="N238" s="673">
        <f t="shared" si="35"/>
        <v>200.5</v>
      </c>
      <c r="O238" s="673">
        <f t="shared" si="44"/>
        <v>1038</v>
      </c>
      <c r="P238" s="673">
        <f t="shared" si="43"/>
        <v>137</v>
      </c>
      <c r="Q238" s="696">
        <f t="shared" si="43"/>
        <v>204.5</v>
      </c>
      <c r="R238" s="696">
        <f t="shared" si="43"/>
        <v>200.5</v>
      </c>
      <c r="S238" s="694">
        <f t="shared" si="38"/>
        <v>542</v>
      </c>
      <c r="T238" s="123"/>
      <c r="U238" s="123"/>
      <c r="V238" s="118">
        <v>0</v>
      </c>
      <c r="W238" s="123" t="e">
        <f>'[1]убор.пл. ф-8 сост. 01.01.11 г.'!S255+'[1]убор.пл. ф-8 сост. 01.01.11 г.'!W255+'[1]убор.пл. ф-8 сост. 01.01.11 г.'!AC255+'[1]убор.пл. ф-8 сост. 01.01.11 г.'!AD255</f>
        <v>#REF!</v>
      </c>
      <c r="X238" s="123"/>
      <c r="Y238" s="123">
        <v>2291</v>
      </c>
      <c r="Z238" s="118">
        <v>0</v>
      </c>
      <c r="AA238" s="123"/>
      <c r="AB238" s="118">
        <v>3092</v>
      </c>
      <c r="AC238" s="117"/>
      <c r="AD238" s="118">
        <f t="shared" si="41"/>
        <v>1038</v>
      </c>
      <c r="AE238" s="118"/>
      <c r="AF238" s="118" t="e">
        <f>#REF!-AE238</f>
        <v>#REF!</v>
      </c>
      <c r="AG238" s="128">
        <v>42</v>
      </c>
      <c r="AH238" s="118" t="e">
        <f>#REF!-AG238</f>
        <v>#REF!</v>
      </c>
      <c r="AI238" s="118"/>
      <c r="AJ238" s="118"/>
      <c r="AK238" s="120" t="e">
        <f t="shared" si="45"/>
        <v>#REF!</v>
      </c>
      <c r="AL238" s="109">
        <f t="shared" si="39"/>
        <v>0</v>
      </c>
      <c r="AM238" s="109">
        <f t="shared" si="39"/>
        <v>0</v>
      </c>
    </row>
    <row r="239" spans="1:39" s="109" customFormat="1" ht="13.5" x14ac:dyDescent="0.25">
      <c r="A239" s="121">
        <v>36</v>
      </c>
      <c r="B239" s="122" t="s">
        <v>158</v>
      </c>
      <c r="C239" s="122">
        <v>17</v>
      </c>
      <c r="D239" s="122">
        <v>2</v>
      </c>
      <c r="E239" s="123"/>
      <c r="F239" s="123">
        <v>779</v>
      </c>
      <c r="G239" s="674"/>
      <c r="H239" s="695"/>
      <c r="I239" s="695"/>
      <c r="J239" s="695"/>
      <c r="K239" s="674">
        <f t="shared" si="34"/>
        <v>0</v>
      </c>
      <c r="L239" s="674">
        <f t="shared" si="35"/>
        <v>0</v>
      </c>
      <c r="M239" s="674">
        <f t="shared" si="35"/>
        <v>0</v>
      </c>
      <c r="N239" s="674">
        <f t="shared" si="35"/>
        <v>0</v>
      </c>
      <c r="O239" s="674">
        <f t="shared" si="44"/>
        <v>0</v>
      </c>
      <c r="P239" s="674">
        <f t="shared" si="43"/>
        <v>0</v>
      </c>
      <c r="Q239" s="697">
        <f>M239/2</f>
        <v>0</v>
      </c>
      <c r="R239" s="697">
        <f>N239/2</f>
        <v>0</v>
      </c>
      <c r="S239" s="695">
        <f t="shared" si="38"/>
        <v>0</v>
      </c>
      <c r="T239" s="123"/>
      <c r="U239" s="123"/>
      <c r="V239" s="118">
        <v>46</v>
      </c>
      <c r="W239" s="123" t="e">
        <f>'[1]убор.пл. ф-8 сост. 01.01.11 г.'!S256+'[1]убор.пл. ф-8 сост. 01.01.11 г.'!W256+'[1]убор.пл. ф-8 сост. 01.01.11 г.'!AC256+'[1]убор.пл. ф-8 сост. 01.01.11 г.'!AD256</f>
        <v>#REF!</v>
      </c>
      <c r="X239" s="123"/>
      <c r="Y239" s="123">
        <v>2793</v>
      </c>
      <c r="Z239" s="118">
        <v>0</v>
      </c>
      <c r="AA239" s="123"/>
      <c r="AB239" s="118">
        <v>3618</v>
      </c>
      <c r="AC239" s="117"/>
      <c r="AD239" s="118">
        <f t="shared" si="41"/>
        <v>0</v>
      </c>
      <c r="AE239" s="118"/>
      <c r="AF239" s="118" t="e">
        <f>#REF!-AE239</f>
        <v>#REF!</v>
      </c>
      <c r="AG239" s="118"/>
      <c r="AH239" s="118" t="e">
        <f>#REF!-AG239</f>
        <v>#REF!</v>
      </c>
      <c r="AI239" s="118"/>
      <c r="AJ239" s="118"/>
      <c r="AK239" s="120" t="e">
        <f t="shared" si="45"/>
        <v>#REF!</v>
      </c>
      <c r="AL239" s="109">
        <f t="shared" si="39"/>
        <v>0</v>
      </c>
      <c r="AM239" s="109">
        <f t="shared" si="39"/>
        <v>0</v>
      </c>
    </row>
    <row r="240" spans="1:39" s="109" customFormat="1" ht="13.5" x14ac:dyDescent="0.25">
      <c r="A240" s="121">
        <v>37</v>
      </c>
      <c r="B240" s="122" t="s">
        <v>158</v>
      </c>
      <c r="C240" s="122">
        <v>22</v>
      </c>
      <c r="D240" s="122">
        <v>2</v>
      </c>
      <c r="E240" s="123">
        <f>88.75</f>
        <v>88.75</v>
      </c>
      <c r="F240" s="123">
        <f>1076+E240</f>
        <v>1164.75</v>
      </c>
      <c r="G240" s="123">
        <v>449.75</v>
      </c>
      <c r="H240" s="118">
        <v>94</v>
      </c>
      <c r="I240" s="118">
        <v>24</v>
      </c>
      <c r="J240" s="118">
        <v>597</v>
      </c>
      <c r="K240" s="123">
        <f t="shared" si="34"/>
        <v>449.75</v>
      </c>
      <c r="L240" s="124">
        <f t="shared" si="35"/>
        <v>47</v>
      </c>
      <c r="M240" s="124">
        <f>I240/2</f>
        <v>12</v>
      </c>
      <c r="N240" s="124">
        <f t="shared" si="35"/>
        <v>298.5</v>
      </c>
      <c r="O240" s="124">
        <f t="shared" si="44"/>
        <v>807.25</v>
      </c>
      <c r="P240" s="124">
        <f t="shared" si="43"/>
        <v>47</v>
      </c>
      <c r="Q240" s="124">
        <f t="shared" si="43"/>
        <v>12</v>
      </c>
      <c r="R240" s="124">
        <f t="shared" si="43"/>
        <v>298.5</v>
      </c>
      <c r="S240" s="118">
        <f t="shared" si="38"/>
        <v>357.5</v>
      </c>
      <c r="T240" s="123"/>
      <c r="U240" s="123"/>
      <c r="V240" s="118">
        <v>140</v>
      </c>
      <c r="W240" s="123" t="e">
        <f>'[1]убор.пл. ф-8 сост. 01.01.11 г.'!S257+'[1]убор.пл. ф-8 сост. 01.01.11 г.'!W257+'[1]убор.пл. ф-8 сост. 01.01.11 г.'!AC257+'[1]убор.пл. ф-8 сост. 01.01.11 г.'!AD257</f>
        <v>#REF!</v>
      </c>
      <c r="X240" s="123"/>
      <c r="Y240" s="123">
        <f>6438-E240</f>
        <v>6349.25</v>
      </c>
      <c r="Z240" s="118">
        <v>0</v>
      </c>
      <c r="AA240" s="123">
        <v>15</v>
      </c>
      <c r="AB240" s="118">
        <v>7654</v>
      </c>
      <c r="AC240" s="117"/>
      <c r="AD240" s="118">
        <f t="shared" si="41"/>
        <v>807.25</v>
      </c>
      <c r="AE240" s="118"/>
      <c r="AF240" s="118" t="e">
        <f>#REF!-AE240</f>
        <v>#REF!</v>
      </c>
      <c r="AG240" s="118"/>
      <c r="AH240" s="118" t="e">
        <f>#REF!-AG240</f>
        <v>#REF!</v>
      </c>
      <c r="AI240" s="118">
        <v>15</v>
      </c>
      <c r="AJ240" s="118"/>
      <c r="AK240" s="120" t="e">
        <f t="shared" si="45"/>
        <v>#REF!</v>
      </c>
      <c r="AL240" s="109">
        <f t="shared" si="39"/>
        <v>0</v>
      </c>
      <c r="AM240" s="109">
        <f t="shared" si="39"/>
        <v>0</v>
      </c>
    </row>
    <row r="241" spans="1:39" s="109" customFormat="1" ht="13.5" x14ac:dyDescent="0.25">
      <c r="A241" s="121">
        <v>38</v>
      </c>
      <c r="B241" s="122" t="s">
        <v>158</v>
      </c>
      <c r="C241" s="122">
        <v>24</v>
      </c>
      <c r="D241" s="122">
        <v>1</v>
      </c>
      <c r="E241" s="123"/>
      <c r="F241" s="123">
        <v>2371</v>
      </c>
      <c r="G241" s="123">
        <v>321</v>
      </c>
      <c r="H241" s="118">
        <v>553</v>
      </c>
      <c r="I241" s="118">
        <v>343</v>
      </c>
      <c r="J241" s="118">
        <v>1154</v>
      </c>
      <c r="K241" s="123">
        <f t="shared" si="34"/>
        <v>321</v>
      </c>
      <c r="L241" s="124">
        <f t="shared" si="35"/>
        <v>276.5</v>
      </c>
      <c r="M241" s="124">
        <f t="shared" si="35"/>
        <v>171.5</v>
      </c>
      <c r="N241" s="124">
        <f t="shared" si="35"/>
        <v>577</v>
      </c>
      <c r="O241" s="124">
        <f t="shared" si="44"/>
        <v>1346</v>
      </c>
      <c r="P241" s="124">
        <f t="shared" si="43"/>
        <v>276.5</v>
      </c>
      <c r="Q241" s="124">
        <f t="shared" si="43"/>
        <v>171.5</v>
      </c>
      <c r="R241" s="124">
        <f t="shared" si="43"/>
        <v>577</v>
      </c>
      <c r="S241" s="118">
        <f t="shared" si="38"/>
        <v>1025</v>
      </c>
      <c r="T241" s="123"/>
      <c r="U241" s="123"/>
      <c r="V241" s="118">
        <v>346</v>
      </c>
      <c r="W241" s="123" t="e">
        <f>'[1]убор.пл. ф-8 сост. 01.01.11 г.'!S258+'[1]убор.пл. ф-8 сост. 01.01.11 г.'!W258+'[1]убор.пл. ф-8 сост. 01.01.11 г.'!AC258+'[1]убор.пл. ф-8 сост. 01.01.11 г.'!AD258</f>
        <v>#REF!</v>
      </c>
      <c r="X241" s="123"/>
      <c r="Y241" s="123">
        <v>6285</v>
      </c>
      <c r="Z241" s="118">
        <v>0</v>
      </c>
      <c r="AA241" s="123"/>
      <c r="AB241" s="118">
        <v>9002</v>
      </c>
      <c r="AC241" s="117"/>
      <c r="AD241" s="118">
        <f t="shared" si="41"/>
        <v>1346</v>
      </c>
      <c r="AE241" s="118"/>
      <c r="AF241" s="118" t="e">
        <f>#REF!-AE241</f>
        <v>#REF!</v>
      </c>
      <c r="AG241" s="128">
        <v>60</v>
      </c>
      <c r="AH241" s="118" t="e">
        <f>#REF!-AG241</f>
        <v>#REF!</v>
      </c>
      <c r="AI241" s="118"/>
      <c r="AJ241" s="128"/>
      <c r="AK241" s="120" t="e">
        <f t="shared" si="45"/>
        <v>#REF!</v>
      </c>
      <c r="AL241" s="109">
        <f t="shared" si="39"/>
        <v>0</v>
      </c>
      <c r="AM241" s="109">
        <f t="shared" si="39"/>
        <v>0</v>
      </c>
    </row>
    <row r="242" spans="1:39" s="109" customFormat="1" ht="13.5" x14ac:dyDescent="0.25">
      <c r="A242" s="121">
        <v>39</v>
      </c>
      <c r="B242" s="122" t="s">
        <v>158</v>
      </c>
      <c r="C242" s="122">
        <v>24</v>
      </c>
      <c r="D242" s="122">
        <v>2</v>
      </c>
      <c r="E242" s="123">
        <f>66.64</f>
        <v>66.64</v>
      </c>
      <c r="F242" s="123">
        <f>1573+E242</f>
        <v>1639.64</v>
      </c>
      <c r="G242" s="123">
        <v>308.64</v>
      </c>
      <c r="H242" s="118">
        <v>111</v>
      </c>
      <c r="I242" s="118">
        <v>367</v>
      </c>
      <c r="J242" s="118">
        <v>853</v>
      </c>
      <c r="K242" s="123">
        <f t="shared" si="34"/>
        <v>308.64</v>
      </c>
      <c r="L242" s="124">
        <f t="shared" si="35"/>
        <v>55.5</v>
      </c>
      <c r="M242" s="124">
        <f t="shared" si="35"/>
        <v>183.5</v>
      </c>
      <c r="N242" s="124">
        <f t="shared" si="35"/>
        <v>426.5</v>
      </c>
      <c r="O242" s="124">
        <f t="shared" si="44"/>
        <v>974.14</v>
      </c>
      <c r="P242" s="124">
        <f t="shared" si="43"/>
        <v>55.5</v>
      </c>
      <c r="Q242" s="124">
        <f t="shared" si="43"/>
        <v>183.5</v>
      </c>
      <c r="R242" s="124">
        <f t="shared" si="43"/>
        <v>426.5</v>
      </c>
      <c r="S242" s="118">
        <f t="shared" si="38"/>
        <v>665.5</v>
      </c>
      <c r="T242" s="123"/>
      <c r="U242" s="123"/>
      <c r="V242" s="118">
        <v>137</v>
      </c>
      <c r="W242" s="123" t="e">
        <f>'[1]убор.пл. ф-8 сост. 01.01.11 г.'!S259+'[1]убор.пл. ф-8 сост. 01.01.11 г.'!W259+'[1]убор.пл. ф-8 сост. 01.01.11 г.'!AC259+'[1]убор.пл. ф-8 сост. 01.01.11 г.'!AD259</f>
        <v>#REF!</v>
      </c>
      <c r="X242" s="123"/>
      <c r="Y242" s="123">
        <f>3151-E242</f>
        <v>3084.36</v>
      </c>
      <c r="Z242" s="118">
        <v>0</v>
      </c>
      <c r="AA242" s="123">
        <v>30</v>
      </c>
      <c r="AB242" s="118">
        <v>4861</v>
      </c>
      <c r="AC242" s="117"/>
      <c r="AD242" s="118">
        <f t="shared" si="41"/>
        <v>974.14</v>
      </c>
      <c r="AE242" s="118"/>
      <c r="AF242" s="118" t="e">
        <f>#REF!-AE242</f>
        <v>#REF!</v>
      </c>
      <c r="AG242" s="118"/>
      <c r="AH242" s="118" t="e">
        <f>#REF!-AG242</f>
        <v>#REF!</v>
      </c>
      <c r="AI242" s="118">
        <v>30</v>
      </c>
      <c r="AJ242" s="128"/>
      <c r="AK242" s="120" t="e">
        <f t="shared" si="45"/>
        <v>#REF!</v>
      </c>
      <c r="AL242" s="109">
        <f t="shared" si="39"/>
        <v>0</v>
      </c>
      <c r="AM242" s="109">
        <f t="shared" si="39"/>
        <v>0</v>
      </c>
    </row>
    <row r="243" spans="1:39" s="109" customFormat="1" ht="13.5" x14ac:dyDescent="0.25">
      <c r="A243" s="121">
        <v>40</v>
      </c>
      <c r="B243" s="122" t="s">
        <v>158</v>
      </c>
      <c r="C243" s="122">
        <v>25</v>
      </c>
      <c r="D243" s="122"/>
      <c r="E243" s="123"/>
      <c r="F243" s="123">
        <v>1764</v>
      </c>
      <c r="G243" s="123">
        <v>590</v>
      </c>
      <c r="H243" s="118">
        <v>270</v>
      </c>
      <c r="I243" s="118">
        <v>84</v>
      </c>
      <c r="J243" s="118">
        <v>820</v>
      </c>
      <c r="K243" s="123">
        <f t="shared" si="34"/>
        <v>590</v>
      </c>
      <c r="L243" s="124">
        <f t="shared" si="35"/>
        <v>135</v>
      </c>
      <c r="M243" s="124">
        <f t="shared" si="35"/>
        <v>42</v>
      </c>
      <c r="N243" s="124">
        <f t="shared" si="35"/>
        <v>410</v>
      </c>
      <c r="O243" s="124">
        <f t="shared" si="44"/>
        <v>1177</v>
      </c>
      <c r="P243" s="124">
        <f t="shared" si="43"/>
        <v>135</v>
      </c>
      <c r="Q243" s="124">
        <f t="shared" si="43"/>
        <v>42</v>
      </c>
      <c r="R243" s="124">
        <f t="shared" si="43"/>
        <v>410</v>
      </c>
      <c r="S243" s="118">
        <f t="shared" si="38"/>
        <v>587</v>
      </c>
      <c r="T243" s="123"/>
      <c r="U243" s="123"/>
      <c r="V243" s="118">
        <v>175</v>
      </c>
      <c r="W243" s="123" t="e">
        <f>'[1]убор.пл. ф-8 сост. 01.01.11 г.'!S260+'[1]убор.пл. ф-8 сост. 01.01.11 г.'!W260+'[1]убор.пл. ф-8 сост. 01.01.11 г.'!AC260+'[1]убор.пл. ф-8 сост. 01.01.11 г.'!AD260</f>
        <v>#REF!</v>
      </c>
      <c r="X243" s="123"/>
      <c r="Y243" s="123">
        <v>8455</v>
      </c>
      <c r="Z243" s="118">
        <v>0</v>
      </c>
      <c r="AA243" s="123"/>
      <c r="AB243" s="118">
        <v>10394</v>
      </c>
      <c r="AC243" s="117"/>
      <c r="AD243" s="118">
        <f t="shared" si="41"/>
        <v>1177</v>
      </c>
      <c r="AE243" s="118"/>
      <c r="AF243" s="118" t="e">
        <f>#REF!-AE243</f>
        <v>#REF!</v>
      </c>
      <c r="AG243" s="128"/>
      <c r="AH243" s="118" t="e">
        <f>#REF!-AG243</f>
        <v>#REF!</v>
      </c>
      <c r="AI243" s="118"/>
      <c r="AJ243" s="118"/>
      <c r="AK243" s="120" t="e">
        <f t="shared" si="45"/>
        <v>#REF!</v>
      </c>
      <c r="AL243" s="109">
        <f t="shared" si="39"/>
        <v>0</v>
      </c>
      <c r="AM243" s="109">
        <f t="shared" si="39"/>
        <v>0</v>
      </c>
    </row>
    <row r="244" spans="1:39" s="109" customFormat="1" ht="13.5" x14ac:dyDescent="0.25">
      <c r="A244" s="121">
        <v>41</v>
      </c>
      <c r="B244" s="122" t="s">
        <v>158</v>
      </c>
      <c r="C244" s="122">
        <v>26</v>
      </c>
      <c r="D244" s="122">
        <v>1</v>
      </c>
      <c r="E244" s="673">
        <f>185.1</f>
        <v>185.1</v>
      </c>
      <c r="F244" s="673">
        <f>2054+E244</f>
        <v>2239.1</v>
      </c>
      <c r="G244" s="673">
        <v>502.1</v>
      </c>
      <c r="H244" s="694">
        <v>269</v>
      </c>
      <c r="I244" s="694">
        <v>542</v>
      </c>
      <c r="J244" s="694">
        <v>926</v>
      </c>
      <c r="K244" s="673">
        <f t="shared" si="34"/>
        <v>502.1</v>
      </c>
      <c r="L244" s="673">
        <f t="shared" si="35"/>
        <v>134.5</v>
      </c>
      <c r="M244" s="673">
        <f t="shared" si="35"/>
        <v>271</v>
      </c>
      <c r="N244" s="673">
        <f t="shared" si="35"/>
        <v>463</v>
      </c>
      <c r="O244" s="673">
        <f t="shared" si="44"/>
        <v>1370.6</v>
      </c>
      <c r="P244" s="673">
        <f t="shared" si="43"/>
        <v>134.5</v>
      </c>
      <c r="Q244" s="696">
        <f t="shared" si="43"/>
        <v>271</v>
      </c>
      <c r="R244" s="696">
        <f t="shared" si="43"/>
        <v>463</v>
      </c>
      <c r="S244" s="694">
        <f t="shared" si="38"/>
        <v>868.5</v>
      </c>
      <c r="T244" s="673"/>
      <c r="U244" s="673"/>
      <c r="V244" s="673">
        <v>788</v>
      </c>
      <c r="W244" s="673" t="e">
        <f>'[1]убор.пл. ф-8 сост. 01.01.11 г.'!S261+'[1]убор.пл. ф-8 сост. 01.01.11 г.'!W261+'[1]убор.пл. ф-8 сост. 01.01.11 г.'!AC261+'[1]убор.пл. ф-8 сост. 01.01.11 г.'!AD261</f>
        <v>#REF!</v>
      </c>
      <c r="X244" s="673"/>
      <c r="Y244" s="673">
        <f>3455-E244</f>
        <v>3269.9</v>
      </c>
      <c r="Z244" s="118">
        <v>0</v>
      </c>
      <c r="AA244" s="123">
        <v>0</v>
      </c>
      <c r="AB244" s="694">
        <v>6297</v>
      </c>
      <c r="AC244" s="117"/>
      <c r="AD244" s="118">
        <f t="shared" si="41"/>
        <v>1370.6</v>
      </c>
      <c r="AE244" s="118"/>
      <c r="AF244" s="118" t="e">
        <f>#REF!-AE244</f>
        <v>#REF!</v>
      </c>
      <c r="AG244" s="128">
        <v>15</v>
      </c>
      <c r="AH244" s="118" t="e">
        <f>#REF!-AG244</f>
        <v>#REF!</v>
      </c>
      <c r="AI244" s="118"/>
      <c r="AJ244" s="118"/>
      <c r="AK244" s="120" t="e">
        <f t="shared" si="45"/>
        <v>#REF!</v>
      </c>
      <c r="AL244" s="109">
        <f t="shared" si="39"/>
        <v>0</v>
      </c>
      <c r="AM244" s="109">
        <f t="shared" si="39"/>
        <v>0</v>
      </c>
    </row>
    <row r="245" spans="1:39" s="109" customFormat="1" ht="13.5" x14ac:dyDescent="0.25">
      <c r="A245" s="121">
        <v>42</v>
      </c>
      <c r="B245" s="122" t="s">
        <v>158</v>
      </c>
      <c r="C245" s="122">
        <v>26</v>
      </c>
      <c r="D245" s="122">
        <v>2</v>
      </c>
      <c r="E245" s="674">
        <v>0</v>
      </c>
      <c r="F245" s="674">
        <v>0</v>
      </c>
      <c r="G245" s="674"/>
      <c r="H245" s="695"/>
      <c r="I245" s="695"/>
      <c r="J245" s="695"/>
      <c r="K245" s="674">
        <f t="shared" si="34"/>
        <v>0</v>
      </c>
      <c r="L245" s="674">
        <f t="shared" si="35"/>
        <v>0</v>
      </c>
      <c r="M245" s="674">
        <f t="shared" si="35"/>
        <v>0</v>
      </c>
      <c r="N245" s="674">
        <f t="shared" si="35"/>
        <v>0</v>
      </c>
      <c r="O245" s="674">
        <f t="shared" si="44"/>
        <v>0</v>
      </c>
      <c r="P245" s="674">
        <f>H245/2</f>
        <v>0</v>
      </c>
      <c r="Q245" s="697">
        <f>M245/2</f>
        <v>0</v>
      </c>
      <c r="R245" s="697">
        <f>N245/2</f>
        <v>0</v>
      </c>
      <c r="S245" s="695">
        <f t="shared" si="38"/>
        <v>0</v>
      </c>
      <c r="T245" s="674"/>
      <c r="U245" s="674"/>
      <c r="V245" s="674">
        <v>0</v>
      </c>
      <c r="W245" s="674"/>
      <c r="X245" s="674"/>
      <c r="Y245" s="674">
        <v>0</v>
      </c>
      <c r="Z245" s="118">
        <v>0</v>
      </c>
      <c r="AA245" s="123">
        <v>0</v>
      </c>
      <c r="AB245" s="695"/>
      <c r="AC245" s="117"/>
      <c r="AD245" s="118"/>
      <c r="AE245" s="118"/>
      <c r="AF245" s="118"/>
      <c r="AG245" s="128"/>
      <c r="AH245" s="118"/>
      <c r="AI245" s="118"/>
      <c r="AJ245" s="118"/>
      <c r="AK245" s="120"/>
      <c r="AL245" s="109">
        <f t="shared" si="39"/>
        <v>0</v>
      </c>
      <c r="AM245" s="109">
        <f t="shared" si="39"/>
        <v>0</v>
      </c>
    </row>
    <row r="246" spans="1:39" s="109" customFormat="1" ht="13.5" x14ac:dyDescent="0.25">
      <c r="A246" s="121">
        <v>43</v>
      </c>
      <c r="B246" s="122" t="s">
        <v>158</v>
      </c>
      <c r="C246" s="122">
        <v>27</v>
      </c>
      <c r="D246" s="122"/>
      <c r="E246" s="123"/>
      <c r="F246" s="123">
        <v>1649</v>
      </c>
      <c r="G246" s="123">
        <v>411</v>
      </c>
      <c r="H246" s="118">
        <v>171</v>
      </c>
      <c r="I246" s="118">
        <v>334</v>
      </c>
      <c r="J246" s="118">
        <v>733</v>
      </c>
      <c r="K246" s="123">
        <f t="shared" si="34"/>
        <v>411</v>
      </c>
      <c r="L246" s="124">
        <f t="shared" si="35"/>
        <v>85.5</v>
      </c>
      <c r="M246" s="124">
        <f t="shared" si="35"/>
        <v>167</v>
      </c>
      <c r="N246" s="124">
        <f t="shared" si="35"/>
        <v>366.5</v>
      </c>
      <c r="O246" s="124">
        <f t="shared" si="44"/>
        <v>1030</v>
      </c>
      <c r="P246" s="124">
        <f>H246/2</f>
        <v>85.5</v>
      </c>
      <c r="Q246" s="124">
        <f>I246/2</f>
        <v>167</v>
      </c>
      <c r="R246" s="124">
        <f>J246/2</f>
        <v>366.5</v>
      </c>
      <c r="S246" s="118">
        <f t="shared" si="38"/>
        <v>619</v>
      </c>
      <c r="T246" s="123"/>
      <c r="U246" s="123"/>
      <c r="V246" s="118">
        <v>0</v>
      </c>
      <c r="W246" s="123" t="e">
        <f>'[1]убор.пл. ф-8 сост. 01.01.11 г.'!S262+'[1]убор.пл. ф-8 сост. 01.01.11 г.'!W262+'[1]убор.пл. ф-8 сост. 01.01.11 г.'!AC262+'[1]убор.пл. ф-8 сост. 01.01.11 г.'!AD262</f>
        <v>#REF!</v>
      </c>
      <c r="X246" s="123"/>
      <c r="Y246" s="123">
        <v>6311</v>
      </c>
      <c r="Z246" s="118">
        <v>0</v>
      </c>
      <c r="AA246" s="123">
        <v>18</v>
      </c>
      <c r="AB246" s="118">
        <v>7960</v>
      </c>
      <c r="AC246" s="117"/>
      <c r="AD246" s="118">
        <f t="shared" si="41"/>
        <v>1030</v>
      </c>
      <c r="AE246" s="118"/>
      <c r="AF246" s="118" t="e">
        <f>#REF!-AE246</f>
        <v>#REF!</v>
      </c>
      <c r="AG246" s="118"/>
      <c r="AH246" s="118" t="e">
        <f>#REF!-AG246</f>
        <v>#REF!</v>
      </c>
      <c r="AI246" s="118">
        <v>18</v>
      </c>
      <c r="AJ246" s="128"/>
      <c r="AK246" s="120" t="e">
        <f t="shared" si="45"/>
        <v>#REF!</v>
      </c>
      <c r="AL246" s="109">
        <f t="shared" si="39"/>
        <v>0</v>
      </c>
      <c r="AM246" s="109">
        <f t="shared" si="39"/>
        <v>0</v>
      </c>
    </row>
    <row r="247" spans="1:39" s="109" customFormat="1" ht="13.5" x14ac:dyDescent="0.25">
      <c r="A247" s="121">
        <v>44</v>
      </c>
      <c r="B247" s="122" t="s">
        <v>158</v>
      </c>
      <c r="C247" s="122">
        <v>28</v>
      </c>
      <c r="D247" s="122">
        <v>1</v>
      </c>
      <c r="E247" s="123">
        <f>488.15+93.53+73.48</f>
        <v>655.16</v>
      </c>
      <c r="F247" s="673">
        <f>3515+E247</f>
        <v>4170.16</v>
      </c>
      <c r="G247" s="673">
        <v>984.16</v>
      </c>
      <c r="H247" s="694">
        <v>177</v>
      </c>
      <c r="I247" s="694">
        <v>673</v>
      </c>
      <c r="J247" s="694">
        <v>2336</v>
      </c>
      <c r="K247" s="673">
        <f t="shared" si="34"/>
        <v>984.16</v>
      </c>
      <c r="L247" s="673">
        <f t="shared" si="35"/>
        <v>88.5</v>
      </c>
      <c r="M247" s="673">
        <f t="shared" si="35"/>
        <v>336.5</v>
      </c>
      <c r="N247" s="673">
        <f t="shared" si="35"/>
        <v>1168</v>
      </c>
      <c r="O247" s="673">
        <f t="shared" si="44"/>
        <v>2577.16</v>
      </c>
      <c r="P247" s="673">
        <f>H247/2</f>
        <v>88.5</v>
      </c>
      <c r="Q247" s="696">
        <f>I247/2</f>
        <v>336.5</v>
      </c>
      <c r="R247" s="696">
        <f>J247/2</f>
        <v>1168</v>
      </c>
      <c r="S247" s="694">
        <f t="shared" si="38"/>
        <v>1593</v>
      </c>
      <c r="T247" s="673"/>
      <c r="U247" s="673"/>
      <c r="V247" s="673">
        <v>514</v>
      </c>
      <c r="W247" s="673" t="e">
        <f>'[1]убор.пл. ф-8 сост. 01.01.11 г.'!S263+'[1]убор.пл. ф-8 сост. 01.01.11 г.'!W263+'[1]убор.пл. ф-8 сост. 01.01.11 г.'!AC263+'[1]убор.пл. ф-8 сост. 01.01.11 г.'!AD263</f>
        <v>#REF!</v>
      </c>
      <c r="X247" s="673"/>
      <c r="Y247" s="673">
        <f>6188-E247</f>
        <v>5532.84</v>
      </c>
      <c r="Z247" s="673">
        <v>0</v>
      </c>
      <c r="AA247" s="123">
        <v>0</v>
      </c>
      <c r="AB247" s="694">
        <v>10217</v>
      </c>
      <c r="AC247" s="117"/>
      <c r="AD247" s="118">
        <f t="shared" si="41"/>
        <v>2577.16</v>
      </c>
      <c r="AE247" s="118"/>
      <c r="AF247" s="118" t="e">
        <f>#REF!-AE247</f>
        <v>#REF!</v>
      </c>
      <c r="AG247" s="128">
        <v>84</v>
      </c>
      <c r="AH247" s="118" t="e">
        <f>#REF!-AG247</f>
        <v>#REF!</v>
      </c>
      <c r="AI247" s="118"/>
      <c r="AJ247" s="118"/>
      <c r="AK247" s="120" t="e">
        <f t="shared" si="45"/>
        <v>#REF!</v>
      </c>
      <c r="AL247" s="109">
        <f t="shared" si="39"/>
        <v>0</v>
      </c>
      <c r="AM247" s="109">
        <f t="shared" si="39"/>
        <v>0</v>
      </c>
    </row>
    <row r="248" spans="1:39" s="109" customFormat="1" ht="13.5" x14ac:dyDescent="0.25">
      <c r="A248" s="121">
        <v>45</v>
      </c>
      <c r="B248" s="122" t="s">
        <v>158</v>
      </c>
      <c r="C248" s="122">
        <v>28</v>
      </c>
      <c r="D248" s="122">
        <v>2</v>
      </c>
      <c r="E248" s="123"/>
      <c r="F248" s="674"/>
      <c r="G248" s="674"/>
      <c r="H248" s="695"/>
      <c r="I248" s="695"/>
      <c r="J248" s="695"/>
      <c r="K248" s="674">
        <f t="shared" si="34"/>
        <v>0</v>
      </c>
      <c r="L248" s="674">
        <f t="shared" si="35"/>
        <v>0</v>
      </c>
      <c r="M248" s="674">
        <f t="shared" si="35"/>
        <v>0</v>
      </c>
      <c r="N248" s="674">
        <f t="shared" si="35"/>
        <v>0</v>
      </c>
      <c r="O248" s="674">
        <f t="shared" si="44"/>
        <v>0</v>
      </c>
      <c r="P248" s="674">
        <f>H248/2</f>
        <v>0</v>
      </c>
      <c r="Q248" s="697">
        <f>M248/2</f>
        <v>0</v>
      </c>
      <c r="R248" s="697">
        <f>N248/2</f>
        <v>0</v>
      </c>
      <c r="S248" s="695">
        <f t="shared" si="38"/>
        <v>0</v>
      </c>
      <c r="T248" s="674"/>
      <c r="U248" s="674"/>
      <c r="V248" s="674">
        <v>0</v>
      </c>
      <c r="W248" s="674" t="e">
        <f>'[1]убор.пл. ф-8 сост. 01.01.11 г.'!S264+'[1]убор.пл. ф-8 сост. 01.01.11 г.'!W264+'[1]убор.пл. ф-8 сост. 01.01.11 г.'!AC264+'[1]убор.пл. ф-8 сост. 01.01.11 г.'!AD264</f>
        <v>#REF!</v>
      </c>
      <c r="X248" s="674"/>
      <c r="Y248" s="674">
        <v>0</v>
      </c>
      <c r="Z248" s="674">
        <v>0</v>
      </c>
      <c r="AA248" s="123">
        <v>18</v>
      </c>
      <c r="AB248" s="695"/>
      <c r="AC248" s="117"/>
      <c r="AD248" s="118">
        <f t="shared" si="41"/>
        <v>0</v>
      </c>
      <c r="AE248" s="118"/>
      <c r="AF248" s="118" t="e">
        <f>#REF!-AE248</f>
        <v>#REF!</v>
      </c>
      <c r="AG248" s="118"/>
      <c r="AH248" s="118" t="e">
        <f>#REF!-AG248</f>
        <v>#REF!</v>
      </c>
      <c r="AI248" s="118">
        <v>18</v>
      </c>
      <c r="AJ248" s="118"/>
      <c r="AK248" s="120" t="e">
        <f t="shared" si="45"/>
        <v>#REF!</v>
      </c>
      <c r="AL248" s="109">
        <f t="shared" si="39"/>
        <v>0</v>
      </c>
      <c r="AM248" s="109">
        <f t="shared" si="39"/>
        <v>0</v>
      </c>
    </row>
    <row r="249" spans="1:39" s="109" customFormat="1" ht="13.5" x14ac:dyDescent="0.25">
      <c r="A249" s="121">
        <v>46</v>
      </c>
      <c r="B249" s="122" t="s">
        <v>158</v>
      </c>
      <c r="C249" s="122">
        <v>29</v>
      </c>
      <c r="D249" s="122"/>
      <c r="E249" s="123"/>
      <c r="F249" s="123">
        <v>1466</v>
      </c>
      <c r="G249" s="123">
        <v>450</v>
      </c>
      <c r="H249" s="118">
        <v>313</v>
      </c>
      <c r="I249" s="118">
        <v>372</v>
      </c>
      <c r="J249" s="118">
        <v>331</v>
      </c>
      <c r="K249" s="123">
        <f t="shared" si="34"/>
        <v>450</v>
      </c>
      <c r="L249" s="124">
        <f t="shared" si="35"/>
        <v>156.5</v>
      </c>
      <c r="M249" s="124">
        <f t="shared" si="35"/>
        <v>186</v>
      </c>
      <c r="N249" s="124">
        <f t="shared" si="35"/>
        <v>165.5</v>
      </c>
      <c r="O249" s="124">
        <f t="shared" si="44"/>
        <v>958</v>
      </c>
      <c r="P249" s="124">
        <f>H249/2</f>
        <v>156.5</v>
      </c>
      <c r="Q249" s="124">
        <f>I249/2</f>
        <v>186</v>
      </c>
      <c r="R249" s="124">
        <f>J249/2</f>
        <v>165.5</v>
      </c>
      <c r="S249" s="118">
        <f t="shared" si="38"/>
        <v>508</v>
      </c>
      <c r="T249" s="123"/>
      <c r="U249" s="123"/>
      <c r="V249" s="118">
        <v>113</v>
      </c>
      <c r="W249" s="123" t="e">
        <f>'[1]убор.пл. ф-8 сост. 01.01.11 г.'!S265+'[1]убор.пл. ф-8 сост. 01.01.11 г.'!W265+'[1]убор.пл. ф-8 сост. 01.01.11 г.'!AC265+'[1]убор.пл. ф-8 сост. 01.01.11 г.'!AD265</f>
        <v>#REF!</v>
      </c>
      <c r="X249" s="123"/>
      <c r="Y249" s="123">
        <v>3866</v>
      </c>
      <c r="Z249" s="118">
        <v>0</v>
      </c>
      <c r="AA249" s="123"/>
      <c r="AB249" s="118">
        <v>5445</v>
      </c>
      <c r="AC249" s="117"/>
      <c r="AD249" s="118">
        <f t="shared" si="41"/>
        <v>958</v>
      </c>
      <c r="AE249" s="118"/>
      <c r="AF249" s="118" t="e">
        <f>#REF!-AE249</f>
        <v>#REF!</v>
      </c>
      <c r="AG249" s="128">
        <v>12</v>
      </c>
      <c r="AH249" s="118" t="e">
        <f>#REF!-AG249</f>
        <v>#REF!</v>
      </c>
      <c r="AI249" s="118"/>
      <c r="AJ249" s="118"/>
      <c r="AK249" s="120" t="e">
        <f t="shared" si="45"/>
        <v>#REF!</v>
      </c>
      <c r="AL249" s="109">
        <f t="shared" si="39"/>
        <v>0</v>
      </c>
      <c r="AM249" s="109">
        <f t="shared" si="39"/>
        <v>0</v>
      </c>
    </row>
    <row r="250" spans="1:39" s="109" customFormat="1" ht="13.5" x14ac:dyDescent="0.25">
      <c r="A250" s="121">
        <v>47</v>
      </c>
      <c r="B250" s="122" t="s">
        <v>158</v>
      </c>
      <c r="C250" s="122">
        <v>31</v>
      </c>
      <c r="D250" s="122"/>
      <c r="E250" s="123">
        <f>154.8</f>
        <v>154.80000000000001</v>
      </c>
      <c r="F250" s="123">
        <f>1163+E250</f>
        <v>1317.8</v>
      </c>
      <c r="G250" s="123">
        <v>630.79999999999995</v>
      </c>
      <c r="H250" s="118">
        <v>69</v>
      </c>
      <c r="I250" s="118">
        <v>416</v>
      </c>
      <c r="J250" s="118">
        <v>202</v>
      </c>
      <c r="K250" s="123">
        <f t="shared" si="34"/>
        <v>630.79999999999995</v>
      </c>
      <c r="L250" s="124">
        <f t="shared" si="35"/>
        <v>34.5</v>
      </c>
      <c r="M250" s="124">
        <f t="shared" si="35"/>
        <v>208</v>
      </c>
      <c r="N250" s="124">
        <f t="shared" si="35"/>
        <v>101</v>
      </c>
      <c r="O250" s="124">
        <f t="shared" si="44"/>
        <v>974.3</v>
      </c>
      <c r="P250" s="124">
        <f t="shared" ref="P250:R285" si="46">H250/2</f>
        <v>34.5</v>
      </c>
      <c r="Q250" s="124">
        <f t="shared" si="46"/>
        <v>208</v>
      </c>
      <c r="R250" s="124">
        <f t="shared" si="46"/>
        <v>101</v>
      </c>
      <c r="S250" s="118">
        <f t="shared" si="38"/>
        <v>343.5</v>
      </c>
      <c r="T250" s="123"/>
      <c r="U250" s="123"/>
      <c r="V250" s="118">
        <v>164</v>
      </c>
      <c r="W250" s="123" t="e">
        <f>'[1]убор.пл. ф-8 сост. 01.01.11 г.'!S266+'[1]убор.пл. ф-8 сост. 01.01.11 г.'!W266+'[1]убор.пл. ф-8 сост. 01.01.11 г.'!AC266+'[1]убор.пл. ф-8 сост. 01.01.11 г.'!AD266</f>
        <v>#REF!</v>
      </c>
      <c r="X250" s="123"/>
      <c r="Y250" s="123">
        <f>3440-E250</f>
        <v>3285.2</v>
      </c>
      <c r="Z250" s="118">
        <v>146</v>
      </c>
      <c r="AA250" s="123"/>
      <c r="AB250" s="118">
        <v>4913</v>
      </c>
      <c r="AC250" s="117"/>
      <c r="AD250" s="118">
        <f t="shared" si="41"/>
        <v>974.3</v>
      </c>
      <c r="AE250" s="118"/>
      <c r="AF250" s="118" t="e">
        <f>#REF!-AE250</f>
        <v>#REF!</v>
      </c>
      <c r="AG250" s="118"/>
      <c r="AH250" s="118" t="e">
        <f>#REF!-AG250</f>
        <v>#REF!</v>
      </c>
      <c r="AI250" s="118"/>
      <c r="AJ250" s="118"/>
      <c r="AK250" s="120" t="e">
        <f t="shared" si="45"/>
        <v>#REF!</v>
      </c>
      <c r="AL250" s="109">
        <f t="shared" si="39"/>
        <v>0</v>
      </c>
      <c r="AM250" s="109">
        <f t="shared" si="39"/>
        <v>0</v>
      </c>
    </row>
    <row r="251" spans="1:39" s="109" customFormat="1" ht="13.5" x14ac:dyDescent="0.25">
      <c r="A251" s="121">
        <v>48</v>
      </c>
      <c r="B251" s="122" t="s">
        <v>158</v>
      </c>
      <c r="C251" s="122">
        <v>33</v>
      </c>
      <c r="D251" s="122"/>
      <c r="E251" s="123"/>
      <c r="F251" s="123">
        <v>1881</v>
      </c>
      <c r="G251" s="123">
        <v>307</v>
      </c>
      <c r="H251" s="118">
        <v>168</v>
      </c>
      <c r="I251" s="118">
        <v>435</v>
      </c>
      <c r="J251" s="118">
        <v>971</v>
      </c>
      <c r="K251" s="123">
        <f t="shared" si="34"/>
        <v>307</v>
      </c>
      <c r="L251" s="124">
        <f t="shared" si="35"/>
        <v>84</v>
      </c>
      <c r="M251" s="124">
        <f t="shared" si="35"/>
        <v>217.5</v>
      </c>
      <c r="N251" s="124">
        <f t="shared" si="35"/>
        <v>485.5</v>
      </c>
      <c r="O251" s="124">
        <f t="shared" si="44"/>
        <v>1094</v>
      </c>
      <c r="P251" s="124">
        <f t="shared" si="46"/>
        <v>84</v>
      </c>
      <c r="Q251" s="124">
        <f t="shared" si="46"/>
        <v>217.5</v>
      </c>
      <c r="R251" s="124">
        <f t="shared" si="46"/>
        <v>485.5</v>
      </c>
      <c r="S251" s="118">
        <f t="shared" si="38"/>
        <v>787</v>
      </c>
      <c r="T251" s="123"/>
      <c r="U251" s="123"/>
      <c r="V251" s="118">
        <v>143</v>
      </c>
      <c r="W251" s="123" t="e">
        <f>'[1]убор.пл. ф-8 сост. 01.01.11 г.'!S267+'[1]убор.пл. ф-8 сост. 01.01.11 г.'!W267+'[1]убор.пл. ф-8 сост. 01.01.11 г.'!AC267+'[1]убор.пл. ф-8 сост. 01.01.11 г.'!AD267</f>
        <v>#REF!</v>
      </c>
      <c r="X251" s="123"/>
      <c r="Y251" s="123">
        <v>6468</v>
      </c>
      <c r="Z251" s="118">
        <v>5804</v>
      </c>
      <c r="AA251" s="123"/>
      <c r="AB251" s="118">
        <v>14296</v>
      </c>
      <c r="AC251" s="117"/>
      <c r="AD251" s="118">
        <f t="shared" si="41"/>
        <v>1094</v>
      </c>
      <c r="AE251" s="118"/>
      <c r="AF251" s="118" t="e">
        <f>#REF!-AE251</f>
        <v>#REF!</v>
      </c>
      <c r="AG251" s="128">
        <v>60</v>
      </c>
      <c r="AH251" s="118" t="e">
        <f>#REF!-AG251</f>
        <v>#REF!</v>
      </c>
      <c r="AI251" s="118"/>
      <c r="AJ251" s="128"/>
      <c r="AK251" s="120" t="e">
        <f t="shared" si="45"/>
        <v>#REF!</v>
      </c>
      <c r="AL251" s="109">
        <f t="shared" si="39"/>
        <v>0</v>
      </c>
      <c r="AM251" s="109">
        <f t="shared" si="39"/>
        <v>0</v>
      </c>
    </row>
    <row r="252" spans="1:39" s="109" customFormat="1" ht="13.5" x14ac:dyDescent="0.25">
      <c r="A252" s="121">
        <v>49</v>
      </c>
      <c r="B252" s="122" t="s">
        <v>158</v>
      </c>
      <c r="C252" s="122">
        <v>35</v>
      </c>
      <c r="D252" s="122"/>
      <c r="E252" s="123">
        <f>87.92+400</f>
        <v>487.92</v>
      </c>
      <c r="F252" s="123">
        <f>1603+E252</f>
        <v>2090.92</v>
      </c>
      <c r="G252" s="123">
        <v>830.92</v>
      </c>
      <c r="H252" s="118">
        <v>179</v>
      </c>
      <c r="I252" s="118">
        <v>552</v>
      </c>
      <c r="J252" s="118">
        <v>529</v>
      </c>
      <c r="K252" s="123">
        <f t="shared" si="34"/>
        <v>830.92</v>
      </c>
      <c r="L252" s="124">
        <f t="shared" si="35"/>
        <v>89.5</v>
      </c>
      <c r="M252" s="124">
        <f t="shared" si="35"/>
        <v>276</v>
      </c>
      <c r="N252" s="124">
        <f t="shared" si="35"/>
        <v>264.5</v>
      </c>
      <c r="O252" s="124">
        <f t="shared" si="44"/>
        <v>1460.92</v>
      </c>
      <c r="P252" s="124">
        <f t="shared" si="46"/>
        <v>89.5</v>
      </c>
      <c r="Q252" s="124">
        <f t="shared" si="46"/>
        <v>276</v>
      </c>
      <c r="R252" s="124">
        <f t="shared" si="46"/>
        <v>264.5</v>
      </c>
      <c r="S252" s="118">
        <f t="shared" si="38"/>
        <v>630</v>
      </c>
      <c r="T252" s="123"/>
      <c r="U252" s="123"/>
      <c r="V252" s="118">
        <v>110</v>
      </c>
      <c r="W252" s="123" t="e">
        <f>'[1]убор.пл. ф-8 сост. 01.01.11 г.'!S268+'[1]убор.пл. ф-8 сост. 01.01.11 г.'!W268+'[1]убор.пл. ф-8 сост. 01.01.11 г.'!AC268+'[1]убор.пл. ф-8 сост. 01.01.11 г.'!AD268</f>
        <v>#REF!</v>
      </c>
      <c r="X252" s="123"/>
      <c r="Y252" s="123">
        <f>5581-E252</f>
        <v>5093.08</v>
      </c>
      <c r="Z252" s="118">
        <v>1756</v>
      </c>
      <c r="AA252" s="123">
        <v>23</v>
      </c>
      <c r="AB252" s="118">
        <v>9050</v>
      </c>
      <c r="AC252" s="117"/>
      <c r="AD252" s="118">
        <f t="shared" si="41"/>
        <v>1460.92</v>
      </c>
      <c r="AE252" s="118"/>
      <c r="AF252" s="118" t="e">
        <f>#REF!-AE252</f>
        <v>#REF!</v>
      </c>
      <c r="AG252" s="118"/>
      <c r="AH252" s="118" t="e">
        <f>#REF!-AG252</f>
        <v>#REF!</v>
      </c>
      <c r="AI252" s="118">
        <v>23</v>
      </c>
      <c r="AJ252" s="118"/>
      <c r="AK252" s="120" t="e">
        <f t="shared" si="45"/>
        <v>#REF!</v>
      </c>
      <c r="AL252" s="109">
        <f t="shared" si="39"/>
        <v>0</v>
      </c>
      <c r="AM252" s="109">
        <f t="shared" si="39"/>
        <v>0</v>
      </c>
    </row>
    <row r="253" spans="1:39" s="109" customFormat="1" ht="13.5" x14ac:dyDescent="0.25">
      <c r="A253" s="121">
        <v>50</v>
      </c>
      <c r="B253" s="122" t="s">
        <v>119</v>
      </c>
      <c r="C253" s="122">
        <v>11</v>
      </c>
      <c r="D253" s="203"/>
      <c r="E253" s="123"/>
      <c r="F253" s="123">
        <v>667</v>
      </c>
      <c r="G253" s="123">
        <v>432</v>
      </c>
      <c r="H253" s="118">
        <v>203</v>
      </c>
      <c r="I253" s="118">
        <v>32</v>
      </c>
      <c r="J253" s="118">
        <v>0</v>
      </c>
      <c r="K253" s="123">
        <f t="shared" si="34"/>
        <v>432</v>
      </c>
      <c r="L253" s="124">
        <f t="shared" si="35"/>
        <v>101.5</v>
      </c>
      <c r="M253" s="124">
        <f t="shared" si="35"/>
        <v>16</v>
      </c>
      <c r="N253" s="124">
        <f t="shared" si="35"/>
        <v>0</v>
      </c>
      <c r="O253" s="124">
        <f t="shared" si="44"/>
        <v>549.5</v>
      </c>
      <c r="P253" s="124">
        <f t="shared" si="46"/>
        <v>101.5</v>
      </c>
      <c r="Q253" s="124">
        <f t="shared" si="46"/>
        <v>16</v>
      </c>
      <c r="R253" s="124">
        <f t="shared" si="46"/>
        <v>0</v>
      </c>
      <c r="S253" s="118">
        <f t="shared" si="38"/>
        <v>117.5</v>
      </c>
      <c r="T253" s="123"/>
      <c r="U253" s="123"/>
      <c r="V253" s="118">
        <v>216</v>
      </c>
      <c r="W253" s="123" t="e">
        <f>'[1]убор.пл. ф-8 сост. 01.01.11 г.'!S269+'[1]убор.пл. ф-8 сост. 01.01.11 г.'!W269+'[1]убор.пл. ф-8 сост. 01.01.11 г.'!AC269+'[1]убор.пл. ф-8 сост. 01.01.11 г.'!AD269</f>
        <v>#REF!</v>
      </c>
      <c r="X253" s="123"/>
      <c r="Y253" s="123">
        <v>4110</v>
      </c>
      <c r="Z253" s="118">
        <v>0</v>
      </c>
      <c r="AA253" s="123"/>
      <c r="AB253" s="118">
        <v>4993</v>
      </c>
      <c r="AC253" s="117"/>
      <c r="AD253" s="118">
        <f t="shared" si="41"/>
        <v>549.5</v>
      </c>
      <c r="AE253" s="118"/>
      <c r="AF253" s="118" t="e">
        <f>#REF!-AE253</f>
        <v>#REF!</v>
      </c>
      <c r="AG253" s="128">
        <v>84</v>
      </c>
      <c r="AH253" s="118" t="e">
        <f>#REF!-AG253</f>
        <v>#REF!</v>
      </c>
      <c r="AI253" s="118"/>
      <c r="AJ253" s="118"/>
      <c r="AK253" s="120" t="e">
        <f t="shared" si="45"/>
        <v>#REF!</v>
      </c>
      <c r="AL253" s="109">
        <f t="shared" si="39"/>
        <v>0</v>
      </c>
      <c r="AM253" s="109">
        <f t="shared" si="39"/>
        <v>0</v>
      </c>
    </row>
    <row r="254" spans="1:39" s="109" customFormat="1" ht="13.5" x14ac:dyDescent="0.25">
      <c r="A254" s="121">
        <v>51</v>
      </c>
      <c r="B254" s="122" t="s">
        <v>119</v>
      </c>
      <c r="C254" s="122">
        <v>15</v>
      </c>
      <c r="D254" s="122"/>
      <c r="E254" s="123"/>
      <c r="F254" s="123">
        <v>1185</v>
      </c>
      <c r="G254" s="123">
        <v>343</v>
      </c>
      <c r="H254" s="118">
        <v>0</v>
      </c>
      <c r="I254" s="118">
        <v>286</v>
      </c>
      <c r="J254" s="118">
        <v>556</v>
      </c>
      <c r="K254" s="123">
        <f t="shared" si="34"/>
        <v>343</v>
      </c>
      <c r="L254" s="124">
        <f t="shared" si="35"/>
        <v>0</v>
      </c>
      <c r="M254" s="124">
        <f t="shared" si="35"/>
        <v>143</v>
      </c>
      <c r="N254" s="124">
        <f t="shared" si="35"/>
        <v>278</v>
      </c>
      <c r="O254" s="124">
        <f t="shared" si="44"/>
        <v>764</v>
      </c>
      <c r="P254" s="124">
        <f t="shared" si="46"/>
        <v>0</v>
      </c>
      <c r="Q254" s="124">
        <f t="shared" si="46"/>
        <v>143</v>
      </c>
      <c r="R254" s="124">
        <f t="shared" si="46"/>
        <v>278</v>
      </c>
      <c r="S254" s="118">
        <f t="shared" si="38"/>
        <v>421</v>
      </c>
      <c r="T254" s="123"/>
      <c r="U254" s="123"/>
      <c r="V254" s="118">
        <v>78</v>
      </c>
      <c r="W254" s="123" t="e">
        <f>'[1]убор.пл. ф-8 сост. 01.01.11 г.'!S270+'[1]убор.пл. ф-8 сост. 01.01.11 г.'!W270+'[1]убор.пл. ф-8 сост. 01.01.11 г.'!AC270+'[1]убор.пл. ф-8 сост. 01.01.11 г.'!AD270</f>
        <v>#REF!</v>
      </c>
      <c r="X254" s="123"/>
      <c r="Y254" s="123">
        <v>2553</v>
      </c>
      <c r="Z254" s="118">
        <v>48</v>
      </c>
      <c r="AA254" s="123">
        <v>24</v>
      </c>
      <c r="AB254" s="118">
        <v>3864</v>
      </c>
      <c r="AC254" s="117"/>
      <c r="AD254" s="118">
        <f t="shared" si="41"/>
        <v>764</v>
      </c>
      <c r="AE254" s="118"/>
      <c r="AF254" s="118" t="e">
        <f>#REF!-AE254</f>
        <v>#REF!</v>
      </c>
      <c r="AG254" s="118"/>
      <c r="AH254" s="118" t="e">
        <f>#REF!-AG254</f>
        <v>#REF!</v>
      </c>
      <c r="AI254" s="118">
        <v>24</v>
      </c>
      <c r="AJ254" s="128"/>
      <c r="AK254" s="120" t="e">
        <f t="shared" si="45"/>
        <v>#REF!</v>
      </c>
      <c r="AL254" s="109">
        <f t="shared" si="39"/>
        <v>0</v>
      </c>
      <c r="AM254" s="109">
        <f t="shared" si="39"/>
        <v>0</v>
      </c>
    </row>
    <row r="255" spans="1:39" s="109" customFormat="1" ht="13.5" x14ac:dyDescent="0.25">
      <c r="A255" s="121">
        <v>52</v>
      </c>
      <c r="B255" s="122" t="s">
        <v>119</v>
      </c>
      <c r="C255" s="122">
        <v>21</v>
      </c>
      <c r="D255" s="122">
        <v>1</v>
      </c>
      <c r="E255" s="123">
        <f>99</f>
        <v>99</v>
      </c>
      <c r="F255" s="123">
        <f>1406+E255</f>
        <v>1505</v>
      </c>
      <c r="G255" s="123">
        <v>207</v>
      </c>
      <c r="H255" s="118">
        <v>84</v>
      </c>
      <c r="I255" s="118">
        <v>383</v>
      </c>
      <c r="J255" s="118">
        <v>831</v>
      </c>
      <c r="K255" s="123">
        <f t="shared" si="34"/>
        <v>207</v>
      </c>
      <c r="L255" s="124">
        <f t="shared" si="35"/>
        <v>42</v>
      </c>
      <c r="M255" s="124">
        <f t="shared" si="35"/>
        <v>191.5</v>
      </c>
      <c r="N255" s="124">
        <f t="shared" si="35"/>
        <v>415.5</v>
      </c>
      <c r="O255" s="124">
        <f t="shared" si="44"/>
        <v>856</v>
      </c>
      <c r="P255" s="124">
        <f t="shared" si="46"/>
        <v>42</v>
      </c>
      <c r="Q255" s="124">
        <f t="shared" si="46"/>
        <v>191.5</v>
      </c>
      <c r="R255" s="124">
        <f t="shared" si="46"/>
        <v>415.5</v>
      </c>
      <c r="S255" s="118">
        <f t="shared" si="38"/>
        <v>649</v>
      </c>
      <c r="T255" s="123"/>
      <c r="U255" s="123"/>
      <c r="V255" s="118">
        <v>0</v>
      </c>
      <c r="W255" s="123" t="e">
        <f>'[1]убор.пл. ф-8 сост. 01.01.11 г.'!S271+'[1]убор.пл. ф-8 сост. 01.01.11 г.'!W271+'[1]убор.пл. ф-8 сост. 01.01.11 г.'!AC271+'[1]убор.пл. ф-8 сост. 01.01.11 г.'!AD271</f>
        <v>#REF!</v>
      </c>
      <c r="X255" s="123"/>
      <c r="Y255" s="123">
        <f>3582-E255</f>
        <v>3483</v>
      </c>
      <c r="Z255" s="118">
        <v>0</v>
      </c>
      <c r="AA255" s="123"/>
      <c r="AB255" s="118">
        <v>4988</v>
      </c>
      <c r="AC255" s="117"/>
      <c r="AD255" s="118">
        <f t="shared" si="41"/>
        <v>856</v>
      </c>
      <c r="AE255" s="118"/>
      <c r="AF255" s="118" t="e">
        <f>#REF!-AE255</f>
        <v>#REF!</v>
      </c>
      <c r="AG255" s="128">
        <v>12</v>
      </c>
      <c r="AH255" s="118" t="e">
        <f>#REF!-AG255</f>
        <v>#REF!</v>
      </c>
      <c r="AI255" s="118"/>
      <c r="AJ255" s="118"/>
      <c r="AK255" s="120" t="e">
        <f t="shared" si="45"/>
        <v>#REF!</v>
      </c>
      <c r="AL255" s="109">
        <f t="shared" si="39"/>
        <v>0</v>
      </c>
      <c r="AM255" s="109">
        <f t="shared" si="39"/>
        <v>0</v>
      </c>
    </row>
    <row r="256" spans="1:39" s="109" customFormat="1" ht="13.5" x14ac:dyDescent="0.25">
      <c r="A256" s="121">
        <v>53</v>
      </c>
      <c r="B256" s="122" t="s">
        <v>119</v>
      </c>
      <c r="C256" s="122">
        <v>21</v>
      </c>
      <c r="D256" s="122">
        <v>2</v>
      </c>
      <c r="E256" s="123">
        <f>253.12</f>
        <v>253.12</v>
      </c>
      <c r="F256" s="123">
        <f>1215+E256</f>
        <v>1468.12</v>
      </c>
      <c r="G256" s="123">
        <v>488.12</v>
      </c>
      <c r="H256" s="118">
        <v>25</v>
      </c>
      <c r="I256" s="118">
        <v>559</v>
      </c>
      <c r="J256" s="118">
        <v>396</v>
      </c>
      <c r="K256" s="123">
        <f t="shared" si="34"/>
        <v>488.12</v>
      </c>
      <c r="L256" s="124">
        <f t="shared" si="35"/>
        <v>12.5</v>
      </c>
      <c r="M256" s="124">
        <f t="shared" si="35"/>
        <v>279.5</v>
      </c>
      <c r="N256" s="124">
        <f t="shared" si="35"/>
        <v>198</v>
      </c>
      <c r="O256" s="124">
        <f t="shared" si="44"/>
        <v>978.12</v>
      </c>
      <c r="P256" s="124">
        <f t="shared" si="46"/>
        <v>12.5</v>
      </c>
      <c r="Q256" s="124">
        <f t="shared" si="46"/>
        <v>279.5</v>
      </c>
      <c r="R256" s="124">
        <f t="shared" si="46"/>
        <v>198</v>
      </c>
      <c r="S256" s="118">
        <f t="shared" si="38"/>
        <v>490</v>
      </c>
      <c r="T256" s="123"/>
      <c r="U256" s="123"/>
      <c r="V256" s="118">
        <v>0</v>
      </c>
      <c r="W256" s="123" t="e">
        <f>'[1]убор.пл. ф-8 сост. 01.01.11 г.'!S272+'[1]убор.пл. ф-8 сост. 01.01.11 г.'!W272+'[1]убор.пл. ф-8 сост. 01.01.11 г.'!AC272+'[1]убор.пл. ф-8 сост. 01.01.11 г.'!AD272</f>
        <v>#REF!</v>
      </c>
      <c r="X256" s="123"/>
      <c r="Y256" s="123">
        <f>4499-E256</f>
        <v>4245.88</v>
      </c>
      <c r="Z256" s="118">
        <v>0</v>
      </c>
      <c r="AA256" s="123"/>
      <c r="AB256" s="118">
        <v>5714</v>
      </c>
      <c r="AC256" s="117"/>
      <c r="AD256" s="118">
        <f t="shared" si="41"/>
        <v>978.12</v>
      </c>
      <c r="AE256" s="118"/>
      <c r="AF256" s="118" t="e">
        <f>#REF!-AE256</f>
        <v>#REF!</v>
      </c>
      <c r="AG256" s="128">
        <v>54</v>
      </c>
      <c r="AH256" s="118" t="e">
        <f>#REF!-AG256</f>
        <v>#REF!</v>
      </c>
      <c r="AI256" s="118"/>
      <c r="AJ256" s="118"/>
      <c r="AK256" s="120" t="e">
        <f t="shared" si="45"/>
        <v>#REF!</v>
      </c>
      <c r="AL256" s="109">
        <f t="shared" si="39"/>
        <v>0</v>
      </c>
      <c r="AM256" s="109">
        <f t="shared" si="39"/>
        <v>0</v>
      </c>
    </row>
    <row r="257" spans="1:39" s="109" customFormat="1" ht="13.5" x14ac:dyDescent="0.25">
      <c r="A257" s="121">
        <v>54</v>
      </c>
      <c r="B257" s="122" t="s">
        <v>119</v>
      </c>
      <c r="C257" s="122">
        <v>27</v>
      </c>
      <c r="D257" s="122"/>
      <c r="E257" s="123">
        <f>136.57</f>
        <v>136.57</v>
      </c>
      <c r="F257" s="123">
        <f>1854+E257</f>
        <v>1990.57</v>
      </c>
      <c r="G257" s="123">
        <v>720.57</v>
      </c>
      <c r="H257" s="118">
        <v>618</v>
      </c>
      <c r="I257" s="118">
        <v>37</v>
      </c>
      <c r="J257" s="118">
        <v>615</v>
      </c>
      <c r="K257" s="123">
        <f t="shared" si="34"/>
        <v>720.57</v>
      </c>
      <c r="L257" s="124">
        <f t="shared" si="35"/>
        <v>309</v>
      </c>
      <c r="M257" s="124">
        <f t="shared" si="35"/>
        <v>18.5</v>
      </c>
      <c r="N257" s="124">
        <f t="shared" si="35"/>
        <v>307.5</v>
      </c>
      <c r="O257" s="124">
        <f t="shared" si="44"/>
        <v>1355.5700000000002</v>
      </c>
      <c r="P257" s="124">
        <f t="shared" si="46"/>
        <v>309</v>
      </c>
      <c r="Q257" s="124">
        <f t="shared" si="46"/>
        <v>18.5</v>
      </c>
      <c r="R257" s="124">
        <f t="shared" si="46"/>
        <v>307.5</v>
      </c>
      <c r="S257" s="118">
        <f t="shared" si="38"/>
        <v>635</v>
      </c>
      <c r="T257" s="123"/>
      <c r="U257" s="123"/>
      <c r="V257" s="118">
        <v>152</v>
      </c>
      <c r="W257" s="123" t="e">
        <f>'[1]убор.пл. ф-8 сост. 01.01.11 г.'!S273+'[1]убор.пл. ф-8 сост. 01.01.11 г.'!W273+'[1]убор.пл. ф-8 сост. 01.01.11 г.'!AC273+'[1]убор.пл. ф-8 сост. 01.01.11 г.'!AD273</f>
        <v>#REF!</v>
      </c>
      <c r="X257" s="123"/>
      <c r="Y257" s="123">
        <f>6745-E257</f>
        <v>6608.43</v>
      </c>
      <c r="Z257" s="118">
        <v>0</v>
      </c>
      <c r="AA257" s="123"/>
      <c r="AB257" s="118">
        <v>8751</v>
      </c>
      <c r="AC257" s="117"/>
      <c r="AD257" s="118">
        <f t="shared" si="41"/>
        <v>1355.5700000000002</v>
      </c>
      <c r="AE257" s="118"/>
      <c r="AF257" s="118" t="e">
        <f>#REF!-AE257</f>
        <v>#REF!</v>
      </c>
      <c r="AG257" s="118"/>
      <c r="AH257" s="118" t="e">
        <f>#REF!-AG257</f>
        <v>#REF!</v>
      </c>
      <c r="AI257" s="118"/>
      <c r="AJ257" s="118"/>
      <c r="AK257" s="120" t="e">
        <f t="shared" si="45"/>
        <v>#REF!</v>
      </c>
      <c r="AL257" s="109">
        <f t="shared" si="39"/>
        <v>0</v>
      </c>
      <c r="AM257" s="109">
        <f t="shared" si="39"/>
        <v>0</v>
      </c>
    </row>
    <row r="258" spans="1:39" s="109" customFormat="1" ht="13.5" x14ac:dyDescent="0.25">
      <c r="A258" s="121">
        <v>55</v>
      </c>
      <c r="B258" s="122" t="s">
        <v>119</v>
      </c>
      <c r="C258" s="122">
        <v>29</v>
      </c>
      <c r="D258" s="122">
        <v>1</v>
      </c>
      <c r="E258" s="123">
        <f>102.14</f>
        <v>102.14</v>
      </c>
      <c r="F258" s="123">
        <f>1278+E258</f>
        <v>1380.14</v>
      </c>
      <c r="G258" s="123">
        <v>387.14</v>
      </c>
      <c r="H258" s="118">
        <v>165</v>
      </c>
      <c r="I258" s="118">
        <v>495</v>
      </c>
      <c r="J258" s="118">
        <v>333</v>
      </c>
      <c r="K258" s="123">
        <f t="shared" si="34"/>
        <v>387.14</v>
      </c>
      <c r="L258" s="124">
        <f t="shared" si="35"/>
        <v>82.5</v>
      </c>
      <c r="M258" s="124">
        <f t="shared" si="35"/>
        <v>247.5</v>
      </c>
      <c r="N258" s="124">
        <f t="shared" si="35"/>
        <v>166.5</v>
      </c>
      <c r="O258" s="124">
        <f t="shared" si="44"/>
        <v>883.64</v>
      </c>
      <c r="P258" s="124">
        <f t="shared" si="46"/>
        <v>82.5</v>
      </c>
      <c r="Q258" s="124">
        <f t="shared" si="46"/>
        <v>247.5</v>
      </c>
      <c r="R258" s="124">
        <f t="shared" si="46"/>
        <v>166.5</v>
      </c>
      <c r="S258" s="118">
        <f t="shared" si="38"/>
        <v>496.5</v>
      </c>
      <c r="T258" s="123"/>
      <c r="U258" s="123"/>
      <c r="V258" s="118">
        <v>373</v>
      </c>
      <c r="W258" s="123" t="e">
        <f>'[1]убор.пл. ф-8 сост. 01.01.11 г.'!S274+'[1]убор.пл. ф-8 сост. 01.01.11 г.'!W274+'[1]убор.пл. ф-8 сост. 01.01.11 г.'!AC274+'[1]убор.пл. ф-8 сост. 01.01.11 г.'!AD274</f>
        <v>#REF!</v>
      </c>
      <c r="X258" s="123"/>
      <c r="Y258" s="123">
        <f>10957-E258</f>
        <v>10854.86</v>
      </c>
      <c r="Z258" s="118">
        <v>0</v>
      </c>
      <c r="AA258" s="123"/>
      <c r="AB258" s="118">
        <v>12608</v>
      </c>
      <c r="AC258" s="117"/>
      <c r="AD258" s="118">
        <f t="shared" si="41"/>
        <v>883.64</v>
      </c>
      <c r="AE258" s="118"/>
      <c r="AF258" s="118" t="e">
        <f>#REF!-AE258</f>
        <v>#REF!</v>
      </c>
      <c r="AG258" s="128">
        <v>132</v>
      </c>
      <c r="AH258" s="118" t="e">
        <f>#REF!-AG258</f>
        <v>#REF!</v>
      </c>
      <c r="AI258" s="118"/>
      <c r="AJ258" s="118"/>
      <c r="AK258" s="120" t="e">
        <f t="shared" si="45"/>
        <v>#REF!</v>
      </c>
      <c r="AL258" s="109">
        <f t="shared" si="39"/>
        <v>0</v>
      </c>
      <c r="AM258" s="109">
        <f t="shared" si="39"/>
        <v>0</v>
      </c>
    </row>
    <row r="259" spans="1:39" s="109" customFormat="1" ht="13.5" x14ac:dyDescent="0.25">
      <c r="A259" s="121">
        <v>56</v>
      </c>
      <c r="B259" s="122" t="s">
        <v>119</v>
      </c>
      <c r="C259" s="122">
        <v>29</v>
      </c>
      <c r="D259" s="122">
        <v>2</v>
      </c>
      <c r="E259" s="123"/>
      <c r="F259" s="123">
        <v>3224</v>
      </c>
      <c r="G259" s="123">
        <v>513</v>
      </c>
      <c r="H259" s="118">
        <v>225</v>
      </c>
      <c r="I259" s="118">
        <v>1534</v>
      </c>
      <c r="J259" s="118">
        <v>952</v>
      </c>
      <c r="K259" s="123">
        <f t="shared" si="34"/>
        <v>513</v>
      </c>
      <c r="L259" s="124">
        <f t="shared" si="35"/>
        <v>112.5</v>
      </c>
      <c r="M259" s="124">
        <f t="shared" si="35"/>
        <v>767</v>
      </c>
      <c r="N259" s="124">
        <f t="shared" si="35"/>
        <v>476</v>
      </c>
      <c r="O259" s="124">
        <f t="shared" si="44"/>
        <v>1868.5</v>
      </c>
      <c r="P259" s="124">
        <f t="shared" si="46"/>
        <v>112.5</v>
      </c>
      <c r="Q259" s="124">
        <f t="shared" si="46"/>
        <v>767</v>
      </c>
      <c r="R259" s="124">
        <f t="shared" si="46"/>
        <v>476</v>
      </c>
      <c r="S259" s="118">
        <f t="shared" si="38"/>
        <v>1355.5</v>
      </c>
      <c r="T259" s="123"/>
      <c r="U259" s="123"/>
      <c r="V259" s="118">
        <v>376</v>
      </c>
      <c r="W259" s="123" t="e">
        <f>'[1]убор.пл. ф-8 сост. 01.01.11 г.'!S275+'[1]убор.пл. ф-8 сост. 01.01.11 г.'!W275+'[1]убор.пл. ф-8 сост. 01.01.11 г.'!AC275+'[1]убор.пл. ф-8 сост. 01.01.11 г.'!AD275</f>
        <v>#REF!</v>
      </c>
      <c r="X259" s="123"/>
      <c r="Y259" s="123">
        <v>4954</v>
      </c>
      <c r="Z259" s="118">
        <v>0</v>
      </c>
      <c r="AA259" s="123">
        <v>20</v>
      </c>
      <c r="AB259" s="118">
        <v>8554</v>
      </c>
      <c r="AC259" s="117"/>
      <c r="AD259" s="118">
        <f t="shared" si="41"/>
        <v>1868.5</v>
      </c>
      <c r="AE259" s="118"/>
      <c r="AF259" s="118" t="e">
        <f>#REF!-AE259</f>
        <v>#REF!</v>
      </c>
      <c r="AG259" s="128">
        <v>136</v>
      </c>
      <c r="AH259" s="118" t="e">
        <f>#REF!-AG259</f>
        <v>#REF!</v>
      </c>
      <c r="AI259" s="118">
        <v>20</v>
      </c>
      <c r="AJ259" s="128"/>
      <c r="AK259" s="120" t="e">
        <f t="shared" si="45"/>
        <v>#REF!</v>
      </c>
      <c r="AL259" s="109">
        <f t="shared" si="39"/>
        <v>0</v>
      </c>
      <c r="AM259" s="109">
        <f t="shared" si="39"/>
        <v>0</v>
      </c>
    </row>
    <row r="260" spans="1:39" s="109" customFormat="1" ht="13.5" x14ac:dyDescent="0.25">
      <c r="A260" s="121">
        <v>57</v>
      </c>
      <c r="B260" s="122" t="s">
        <v>119</v>
      </c>
      <c r="C260" s="122">
        <v>29</v>
      </c>
      <c r="D260" s="122">
        <v>3</v>
      </c>
      <c r="E260" s="123"/>
      <c r="F260" s="123">
        <v>1420</v>
      </c>
      <c r="G260" s="123">
        <v>131</v>
      </c>
      <c r="H260" s="118">
        <v>226</v>
      </c>
      <c r="I260" s="118">
        <v>942</v>
      </c>
      <c r="J260" s="118">
        <v>121</v>
      </c>
      <c r="K260" s="123">
        <f t="shared" si="34"/>
        <v>131</v>
      </c>
      <c r="L260" s="124">
        <f t="shared" si="35"/>
        <v>113</v>
      </c>
      <c r="M260" s="124">
        <f t="shared" si="35"/>
        <v>471</v>
      </c>
      <c r="N260" s="124">
        <f t="shared" si="35"/>
        <v>60.5</v>
      </c>
      <c r="O260" s="124">
        <f t="shared" si="44"/>
        <v>775.5</v>
      </c>
      <c r="P260" s="124">
        <f t="shared" si="46"/>
        <v>113</v>
      </c>
      <c r="Q260" s="124">
        <f t="shared" si="46"/>
        <v>471</v>
      </c>
      <c r="R260" s="124">
        <f t="shared" si="46"/>
        <v>60.5</v>
      </c>
      <c r="S260" s="118">
        <f t="shared" si="38"/>
        <v>644.5</v>
      </c>
      <c r="T260" s="123"/>
      <c r="U260" s="123"/>
      <c r="V260" s="118">
        <v>111</v>
      </c>
      <c r="W260" s="123" t="e">
        <f>'[1]убор.пл. ф-8 сост. 01.01.11 г.'!S276+'[1]убор.пл. ф-8 сост. 01.01.11 г.'!W276+'[1]убор.пл. ф-8 сост. 01.01.11 г.'!AC276+'[1]убор.пл. ф-8 сост. 01.01.11 г.'!AD276</f>
        <v>#REF!</v>
      </c>
      <c r="X260" s="123"/>
      <c r="Y260" s="123">
        <v>5379</v>
      </c>
      <c r="Z260" s="118">
        <v>0</v>
      </c>
      <c r="AA260" s="123"/>
      <c r="AB260" s="118">
        <v>6910</v>
      </c>
      <c r="AC260" s="117">
        <v>18</v>
      </c>
      <c r="AD260" s="118">
        <f t="shared" si="41"/>
        <v>757.5</v>
      </c>
      <c r="AE260" s="118"/>
      <c r="AF260" s="118" t="e">
        <f>#REF!-AE260</f>
        <v>#REF!</v>
      </c>
      <c r="AG260" s="128">
        <v>102</v>
      </c>
      <c r="AH260" s="118" t="e">
        <f>#REF!-AG260</f>
        <v>#REF!</v>
      </c>
      <c r="AI260" s="118"/>
      <c r="AJ260" s="118"/>
      <c r="AK260" s="120" t="e">
        <f t="shared" si="45"/>
        <v>#REF!</v>
      </c>
      <c r="AL260" s="109">
        <f t="shared" si="39"/>
        <v>0</v>
      </c>
      <c r="AM260" s="109">
        <f t="shared" si="39"/>
        <v>0</v>
      </c>
    </row>
    <row r="261" spans="1:39" ht="13.5" x14ac:dyDescent="0.25">
      <c r="A261" s="121">
        <v>58</v>
      </c>
      <c r="B261" s="122" t="s">
        <v>119</v>
      </c>
      <c r="C261" s="122">
        <v>29</v>
      </c>
      <c r="D261" s="122">
        <v>4</v>
      </c>
      <c r="E261" s="204"/>
      <c r="F261" s="123">
        <v>2529</v>
      </c>
      <c r="G261" s="123">
        <v>463</v>
      </c>
      <c r="H261" s="118">
        <v>514</v>
      </c>
      <c r="I261" s="118">
        <v>1022</v>
      </c>
      <c r="J261" s="118">
        <v>530</v>
      </c>
      <c r="K261" s="123">
        <f t="shared" si="34"/>
        <v>463</v>
      </c>
      <c r="L261" s="124">
        <f t="shared" si="35"/>
        <v>257</v>
      </c>
      <c r="M261" s="124">
        <f t="shared" si="35"/>
        <v>511</v>
      </c>
      <c r="N261" s="124">
        <f t="shared" si="35"/>
        <v>265</v>
      </c>
      <c r="O261" s="124">
        <f t="shared" si="44"/>
        <v>1496</v>
      </c>
      <c r="P261" s="124">
        <f t="shared" si="46"/>
        <v>257</v>
      </c>
      <c r="Q261" s="124">
        <f t="shared" si="46"/>
        <v>511</v>
      </c>
      <c r="R261" s="124">
        <f t="shared" si="46"/>
        <v>265</v>
      </c>
      <c r="S261" s="118">
        <f t="shared" si="38"/>
        <v>1033</v>
      </c>
      <c r="T261" s="204"/>
      <c r="U261" s="204"/>
      <c r="V261" s="118">
        <v>150</v>
      </c>
      <c r="W261" s="123" t="e">
        <f>'[1]убор.пл. ф-8 сост. 01.01.11 г.'!S277+'[1]убор.пл. ф-8 сост. 01.01.11 г.'!W277+'[1]убор.пл. ф-8 сост. 01.01.11 г.'!AC277+'[1]убор.пл. ф-8 сост. 01.01.11 г.'!AD277</f>
        <v>#REF!</v>
      </c>
      <c r="X261" s="123"/>
      <c r="Y261" s="123">
        <v>5773</v>
      </c>
      <c r="Z261" s="118">
        <v>0</v>
      </c>
      <c r="AA261" s="123">
        <v>24</v>
      </c>
      <c r="AB261" s="118">
        <v>8452</v>
      </c>
      <c r="AC261" s="205"/>
      <c r="AD261" s="206">
        <f t="shared" si="41"/>
        <v>1496</v>
      </c>
      <c r="AE261" s="206"/>
      <c r="AF261" s="206" t="e">
        <f>#REF!-AE261</f>
        <v>#REF!</v>
      </c>
      <c r="AG261" s="207">
        <v>114</v>
      </c>
      <c r="AH261" s="206" t="e">
        <f>#REF!-AG261</f>
        <v>#REF!</v>
      </c>
      <c r="AI261" s="206">
        <v>24</v>
      </c>
      <c r="AJ261" s="207"/>
      <c r="AK261" s="208" t="e">
        <f t="shared" si="45"/>
        <v>#REF!</v>
      </c>
      <c r="AL261" s="109">
        <f t="shared" si="39"/>
        <v>0</v>
      </c>
      <c r="AM261" s="109">
        <f t="shared" si="39"/>
        <v>0</v>
      </c>
    </row>
    <row r="262" spans="1:39" s="109" customFormat="1" ht="13.5" x14ac:dyDescent="0.25">
      <c r="A262" s="121">
        <v>59</v>
      </c>
      <c r="B262" s="122" t="s">
        <v>159</v>
      </c>
      <c r="C262" s="122">
        <v>18</v>
      </c>
      <c r="D262" s="122">
        <v>1</v>
      </c>
      <c r="E262" s="123">
        <f>236.72+215.62+359.49+190.2</f>
        <v>1002.03</v>
      </c>
      <c r="F262" s="123">
        <f>1758+E262</f>
        <v>2760.0299999999997</v>
      </c>
      <c r="G262" s="123">
        <v>1444.03</v>
      </c>
      <c r="H262" s="118">
        <v>282</v>
      </c>
      <c r="I262" s="118">
        <v>225</v>
      </c>
      <c r="J262" s="118">
        <v>809</v>
      </c>
      <c r="K262" s="123">
        <f t="shared" si="34"/>
        <v>1444.03</v>
      </c>
      <c r="L262" s="124">
        <f t="shared" si="35"/>
        <v>141</v>
      </c>
      <c r="M262" s="124">
        <f t="shared" si="35"/>
        <v>112.5</v>
      </c>
      <c r="N262" s="124">
        <f t="shared" si="35"/>
        <v>404.5</v>
      </c>
      <c r="O262" s="124">
        <f t="shared" si="44"/>
        <v>2102.0299999999997</v>
      </c>
      <c r="P262" s="124">
        <f t="shared" si="46"/>
        <v>141</v>
      </c>
      <c r="Q262" s="124">
        <f t="shared" si="46"/>
        <v>112.5</v>
      </c>
      <c r="R262" s="124">
        <f t="shared" si="46"/>
        <v>404.5</v>
      </c>
      <c r="S262" s="118">
        <f t="shared" si="38"/>
        <v>658</v>
      </c>
      <c r="T262" s="123"/>
      <c r="U262" s="123"/>
      <c r="V262" s="118">
        <v>132</v>
      </c>
      <c r="W262" s="123" t="e">
        <f>'[1]убор.пл. ф-8 сост. 01.01.11 г.'!S278+'[1]убор.пл. ф-8 сост. 01.01.11 г.'!W278+'[1]убор.пл. ф-8 сост. 01.01.11 г.'!AC278+'[1]убор.пл. ф-8 сост. 01.01.11 г.'!AD278</f>
        <v>#REF!</v>
      </c>
      <c r="X262" s="123"/>
      <c r="Y262" s="123">
        <f>10628-E262</f>
        <v>9625.9699999999993</v>
      </c>
      <c r="Z262" s="118">
        <v>0</v>
      </c>
      <c r="AA262" s="123"/>
      <c r="AB262" s="118">
        <v>12518</v>
      </c>
      <c r="AC262" s="117"/>
      <c r="AD262" s="118">
        <f t="shared" si="41"/>
        <v>2102.0299999999997</v>
      </c>
      <c r="AE262" s="118"/>
      <c r="AF262" s="118" t="e">
        <f>#REF!-AE262</f>
        <v>#REF!</v>
      </c>
      <c r="AG262" s="118">
        <v>6</v>
      </c>
      <c r="AH262" s="118" t="e">
        <f>#REF!-AG262</f>
        <v>#REF!</v>
      </c>
      <c r="AI262" s="118"/>
      <c r="AJ262" s="118"/>
      <c r="AK262" s="120" t="e">
        <f t="shared" si="45"/>
        <v>#REF!</v>
      </c>
      <c r="AL262" s="109">
        <f t="shared" si="39"/>
        <v>0</v>
      </c>
      <c r="AM262" s="109">
        <f t="shared" si="39"/>
        <v>0</v>
      </c>
    </row>
    <row r="263" spans="1:39" ht="13.5" x14ac:dyDescent="0.25">
      <c r="A263" s="121">
        <v>60</v>
      </c>
      <c r="B263" s="122" t="s">
        <v>159</v>
      </c>
      <c r="C263" s="122">
        <v>18</v>
      </c>
      <c r="D263" s="122">
        <v>2</v>
      </c>
      <c r="E263" s="204"/>
      <c r="F263" s="123">
        <f>1764+E263</f>
        <v>1764</v>
      </c>
      <c r="G263" s="123">
        <v>348</v>
      </c>
      <c r="H263" s="118">
        <v>315</v>
      </c>
      <c r="I263" s="118">
        <v>225</v>
      </c>
      <c r="J263" s="118">
        <v>876</v>
      </c>
      <c r="K263" s="123">
        <f t="shared" si="34"/>
        <v>348</v>
      </c>
      <c r="L263" s="124">
        <f t="shared" si="35"/>
        <v>157.5</v>
      </c>
      <c r="M263" s="124">
        <f t="shared" si="35"/>
        <v>112.5</v>
      </c>
      <c r="N263" s="124">
        <f t="shared" si="35"/>
        <v>438</v>
      </c>
      <c r="O263" s="124">
        <f t="shared" si="44"/>
        <v>1056</v>
      </c>
      <c r="P263" s="124">
        <f t="shared" si="46"/>
        <v>157.5</v>
      </c>
      <c r="Q263" s="124">
        <f t="shared" si="46"/>
        <v>112.5</v>
      </c>
      <c r="R263" s="124">
        <f t="shared" si="46"/>
        <v>438</v>
      </c>
      <c r="S263" s="118">
        <f t="shared" si="38"/>
        <v>708</v>
      </c>
      <c r="T263" s="204"/>
      <c r="U263" s="204"/>
      <c r="V263" s="118">
        <v>93</v>
      </c>
      <c r="W263" s="123" t="e">
        <f>'[1]убор.пл. ф-8 сост. 01.01.11 г.'!S279+'[1]убор.пл. ф-8 сост. 01.01.11 г.'!W279+'[1]убор.пл. ф-8 сост. 01.01.11 г.'!AC279+'[1]убор.пл. ф-8 сост. 01.01.11 г.'!AD279</f>
        <v>#REF!</v>
      </c>
      <c r="X263" s="123"/>
      <c r="Y263" s="123">
        <f>3303-E263</f>
        <v>3303</v>
      </c>
      <c r="Z263" s="118">
        <v>0</v>
      </c>
      <c r="AA263" s="123"/>
      <c r="AB263" s="118">
        <v>5160</v>
      </c>
      <c r="AC263" s="205"/>
      <c r="AD263" s="206">
        <f t="shared" si="41"/>
        <v>1056</v>
      </c>
      <c r="AE263" s="206"/>
      <c r="AF263" s="206" t="e">
        <f>#REF!-AE263</f>
        <v>#REF!</v>
      </c>
      <c r="AG263" s="207">
        <v>6</v>
      </c>
      <c r="AH263" s="206" t="e">
        <f>#REF!-AG263</f>
        <v>#REF!</v>
      </c>
      <c r="AI263" s="206"/>
      <c r="AJ263" s="206"/>
      <c r="AK263" s="208" t="e">
        <f t="shared" si="45"/>
        <v>#REF!</v>
      </c>
      <c r="AL263" s="109">
        <f t="shared" si="39"/>
        <v>0</v>
      </c>
      <c r="AM263" s="109">
        <f t="shared" si="39"/>
        <v>0</v>
      </c>
    </row>
    <row r="264" spans="1:39" s="109" customFormat="1" ht="13.5" x14ac:dyDescent="0.25">
      <c r="A264" s="121">
        <v>61</v>
      </c>
      <c r="B264" s="122" t="s">
        <v>159</v>
      </c>
      <c r="C264" s="122">
        <v>20</v>
      </c>
      <c r="D264" s="122">
        <v>2</v>
      </c>
      <c r="E264" s="123">
        <f>216.28</f>
        <v>216.28</v>
      </c>
      <c r="F264" s="123">
        <f>1754+E264</f>
        <v>1970.28</v>
      </c>
      <c r="G264" s="123">
        <v>486.28</v>
      </c>
      <c r="H264" s="118">
        <v>296</v>
      </c>
      <c r="I264" s="118">
        <v>365</v>
      </c>
      <c r="J264" s="118">
        <v>823</v>
      </c>
      <c r="K264" s="123">
        <f t="shared" si="34"/>
        <v>486.28</v>
      </c>
      <c r="L264" s="124">
        <f t="shared" si="35"/>
        <v>148</v>
      </c>
      <c r="M264" s="124">
        <f t="shared" si="35"/>
        <v>182.5</v>
      </c>
      <c r="N264" s="124">
        <f t="shared" si="35"/>
        <v>411.5</v>
      </c>
      <c r="O264" s="124">
        <f t="shared" si="44"/>
        <v>1228.28</v>
      </c>
      <c r="P264" s="124">
        <f t="shared" si="46"/>
        <v>148</v>
      </c>
      <c r="Q264" s="124">
        <f t="shared" si="46"/>
        <v>182.5</v>
      </c>
      <c r="R264" s="124">
        <f t="shared" si="46"/>
        <v>411.5</v>
      </c>
      <c r="S264" s="118">
        <f t="shared" si="38"/>
        <v>742</v>
      </c>
      <c r="T264" s="123"/>
      <c r="U264" s="123"/>
      <c r="V264" s="118">
        <v>0</v>
      </c>
      <c r="W264" s="123" t="e">
        <f>'[1]убор.пл. ф-8 сост. 01.01.11 г.'!S280+'[1]убор.пл. ф-8 сост. 01.01.11 г.'!W280+'[1]убор.пл. ф-8 сост. 01.01.11 г.'!AC280+'[1]убор.пл. ф-8 сост. 01.01.11 г.'!AD280</f>
        <v>#REF!</v>
      </c>
      <c r="X264" s="123"/>
      <c r="Y264" s="123">
        <f>3591-E264</f>
        <v>3374.72</v>
      </c>
      <c r="Z264" s="118">
        <v>0</v>
      </c>
      <c r="AA264" s="123"/>
      <c r="AB264" s="118">
        <v>5345</v>
      </c>
      <c r="AC264" s="117"/>
      <c r="AD264" s="118">
        <f t="shared" si="41"/>
        <v>1228.28</v>
      </c>
      <c r="AE264" s="118">
        <v>12</v>
      </c>
      <c r="AF264" s="118" t="e">
        <f>#REF!-AE264</f>
        <v>#REF!</v>
      </c>
      <c r="AG264" s="128">
        <v>12</v>
      </c>
      <c r="AH264" s="118" t="e">
        <f>#REF!-AG264</f>
        <v>#REF!</v>
      </c>
      <c r="AI264" s="118"/>
      <c r="AJ264" s="118"/>
      <c r="AK264" s="120" t="e">
        <f t="shared" si="45"/>
        <v>#REF!</v>
      </c>
      <c r="AL264" s="109">
        <f t="shared" si="39"/>
        <v>0</v>
      </c>
      <c r="AM264" s="109">
        <f t="shared" si="39"/>
        <v>0</v>
      </c>
    </row>
    <row r="265" spans="1:39" ht="13.5" x14ac:dyDescent="0.25">
      <c r="A265" s="121">
        <v>62</v>
      </c>
      <c r="B265" s="122" t="s">
        <v>159</v>
      </c>
      <c r="C265" s="122">
        <v>20</v>
      </c>
      <c r="D265" s="122">
        <v>3</v>
      </c>
      <c r="E265" s="204"/>
      <c r="F265" s="123">
        <v>2653</v>
      </c>
      <c r="G265" s="123">
        <v>405</v>
      </c>
      <c r="H265" s="118">
        <v>611</v>
      </c>
      <c r="I265" s="118">
        <v>391</v>
      </c>
      <c r="J265" s="118">
        <v>1246</v>
      </c>
      <c r="K265" s="123">
        <f t="shared" si="34"/>
        <v>405</v>
      </c>
      <c r="L265" s="124">
        <f t="shared" si="35"/>
        <v>305.5</v>
      </c>
      <c r="M265" s="124">
        <f t="shared" si="35"/>
        <v>195.5</v>
      </c>
      <c r="N265" s="124">
        <f t="shared" si="35"/>
        <v>623</v>
      </c>
      <c r="O265" s="124">
        <f t="shared" si="44"/>
        <v>1529</v>
      </c>
      <c r="P265" s="124">
        <f t="shared" si="46"/>
        <v>305.5</v>
      </c>
      <c r="Q265" s="124">
        <f t="shared" si="46"/>
        <v>195.5</v>
      </c>
      <c r="R265" s="124">
        <f t="shared" si="46"/>
        <v>623</v>
      </c>
      <c r="S265" s="118">
        <f t="shared" si="38"/>
        <v>1124</v>
      </c>
      <c r="T265" s="204"/>
      <c r="U265" s="204"/>
      <c r="V265" s="118">
        <v>138</v>
      </c>
      <c r="W265" s="123" t="e">
        <f>'[1]убор.пл. ф-8 сост. 01.01.11 г.'!S281+'[1]убор.пл. ф-8 сост. 01.01.11 г.'!W281+'[1]убор.пл. ф-8 сост. 01.01.11 г.'!AC281+'[1]убор.пл. ф-8 сост. 01.01.11 г.'!AD281</f>
        <v>#REF!</v>
      </c>
      <c r="X265" s="123"/>
      <c r="Y265" s="123">
        <v>12032</v>
      </c>
      <c r="Z265" s="118">
        <v>0</v>
      </c>
      <c r="AA265" s="123">
        <v>16</v>
      </c>
      <c r="AB265" s="118">
        <v>14823</v>
      </c>
      <c r="AC265" s="205"/>
      <c r="AD265" s="206">
        <f t="shared" si="41"/>
        <v>1529</v>
      </c>
      <c r="AE265" s="206"/>
      <c r="AF265" s="206" t="e">
        <f>#REF!-AE265</f>
        <v>#REF!</v>
      </c>
      <c r="AG265" s="207">
        <v>90</v>
      </c>
      <c r="AH265" s="206" t="e">
        <f>#REF!-AG265</f>
        <v>#REF!</v>
      </c>
      <c r="AI265" s="206">
        <v>16</v>
      </c>
      <c r="AJ265" s="207"/>
      <c r="AK265" s="208" t="e">
        <f t="shared" si="45"/>
        <v>#REF!</v>
      </c>
      <c r="AL265" s="109">
        <f t="shared" si="39"/>
        <v>0</v>
      </c>
      <c r="AM265" s="109">
        <f t="shared" si="39"/>
        <v>0</v>
      </c>
    </row>
    <row r="266" spans="1:39" s="109" customFormat="1" ht="13.5" x14ac:dyDescent="0.25">
      <c r="A266" s="121">
        <v>63</v>
      </c>
      <c r="B266" s="122" t="s">
        <v>159</v>
      </c>
      <c r="C266" s="122">
        <v>24</v>
      </c>
      <c r="D266" s="122">
        <v>1</v>
      </c>
      <c r="E266" s="123">
        <f>210.25</f>
        <v>210.25</v>
      </c>
      <c r="F266" s="123">
        <f>3101+E266</f>
        <v>3311.25</v>
      </c>
      <c r="G266" s="123">
        <v>440.25</v>
      </c>
      <c r="H266" s="118">
        <v>653</v>
      </c>
      <c r="I266" s="118">
        <v>800</v>
      </c>
      <c r="J266" s="118">
        <v>1418</v>
      </c>
      <c r="K266" s="123">
        <f t="shared" si="34"/>
        <v>440.25</v>
      </c>
      <c r="L266" s="124">
        <f t="shared" si="35"/>
        <v>326.5</v>
      </c>
      <c r="M266" s="124">
        <f t="shared" si="35"/>
        <v>400</v>
      </c>
      <c r="N266" s="124">
        <f t="shared" si="35"/>
        <v>709</v>
      </c>
      <c r="O266" s="124">
        <f t="shared" si="44"/>
        <v>1875.75</v>
      </c>
      <c r="P266" s="124">
        <f t="shared" si="46"/>
        <v>326.5</v>
      </c>
      <c r="Q266" s="124">
        <f t="shared" si="46"/>
        <v>400</v>
      </c>
      <c r="R266" s="124">
        <f t="shared" si="46"/>
        <v>709</v>
      </c>
      <c r="S266" s="118">
        <f t="shared" si="38"/>
        <v>1435.5</v>
      </c>
      <c r="T266" s="123"/>
      <c r="U266" s="123"/>
      <c r="V266" s="118">
        <v>138</v>
      </c>
      <c r="W266" s="123" t="e">
        <f>'[1]убор.пл. ф-8 сост. 01.01.11 г.'!S282+'[1]убор.пл. ф-8 сост. 01.01.11 г.'!W282+'[1]убор.пл. ф-8 сост. 01.01.11 г.'!AC282+'[1]убор.пл. ф-8 сост. 01.01.11 г.'!AD282</f>
        <v>#REF!</v>
      </c>
      <c r="X266" s="123"/>
      <c r="Y266" s="123">
        <f>10346-210.25</f>
        <v>10135.75</v>
      </c>
      <c r="Z266" s="118">
        <v>0</v>
      </c>
      <c r="AA266" s="123"/>
      <c r="AB266" s="118">
        <v>13585</v>
      </c>
      <c r="AC266" s="117"/>
      <c r="AD266" s="118">
        <f t="shared" si="41"/>
        <v>1875.75</v>
      </c>
      <c r="AE266" s="118"/>
      <c r="AF266" s="118" t="e">
        <f>#REF!-AE266</f>
        <v>#REF!</v>
      </c>
      <c r="AG266" s="128">
        <v>6</v>
      </c>
      <c r="AH266" s="118" t="e">
        <f>#REF!-AG266</f>
        <v>#REF!</v>
      </c>
      <c r="AI266" s="118"/>
      <c r="AJ266" s="128"/>
      <c r="AK266" s="120" t="e">
        <f t="shared" si="45"/>
        <v>#REF!</v>
      </c>
      <c r="AL266" s="109">
        <f t="shared" si="39"/>
        <v>0</v>
      </c>
      <c r="AM266" s="109">
        <f t="shared" si="39"/>
        <v>0</v>
      </c>
    </row>
    <row r="267" spans="1:39" s="109" customFormat="1" ht="13.5" x14ac:dyDescent="0.25">
      <c r="A267" s="121">
        <v>64</v>
      </c>
      <c r="B267" s="122" t="s">
        <v>159</v>
      </c>
      <c r="C267" s="122">
        <v>24</v>
      </c>
      <c r="D267" s="122">
        <v>2</v>
      </c>
      <c r="E267" s="123">
        <f>48.6</f>
        <v>48.6</v>
      </c>
      <c r="F267" s="123">
        <f>1684+E267</f>
        <v>1732.6</v>
      </c>
      <c r="G267" s="123">
        <v>649.6</v>
      </c>
      <c r="H267" s="118">
        <v>120</v>
      </c>
      <c r="I267" s="118">
        <v>608</v>
      </c>
      <c r="J267" s="118">
        <v>355</v>
      </c>
      <c r="K267" s="123">
        <f t="shared" si="34"/>
        <v>649.6</v>
      </c>
      <c r="L267" s="124">
        <f t="shared" si="35"/>
        <v>60</v>
      </c>
      <c r="M267" s="124">
        <f t="shared" si="35"/>
        <v>304</v>
      </c>
      <c r="N267" s="124">
        <f t="shared" si="35"/>
        <v>177.5</v>
      </c>
      <c r="O267" s="124">
        <f t="shared" si="44"/>
        <v>1191.0999999999999</v>
      </c>
      <c r="P267" s="124">
        <f t="shared" si="46"/>
        <v>60</v>
      </c>
      <c r="Q267" s="124">
        <f t="shared" si="46"/>
        <v>304</v>
      </c>
      <c r="R267" s="124">
        <f t="shared" si="46"/>
        <v>177.5</v>
      </c>
      <c r="S267" s="118">
        <f t="shared" si="38"/>
        <v>541.5</v>
      </c>
      <c r="T267" s="123"/>
      <c r="U267" s="123"/>
      <c r="V267" s="118">
        <v>0</v>
      </c>
      <c r="W267" s="123" t="e">
        <f>'[1]убор.пл. ф-8 сост. 01.01.11 г.'!S283+'[1]убор.пл. ф-8 сост. 01.01.11 г.'!W283+'[1]убор.пл. ф-8 сост. 01.01.11 г.'!AC283+'[1]убор.пл. ф-8 сост. 01.01.11 г.'!AD283</f>
        <v>#REF!</v>
      </c>
      <c r="X267" s="123"/>
      <c r="Y267" s="123">
        <f>3840-E267</f>
        <v>3791.4</v>
      </c>
      <c r="Z267" s="118">
        <v>0</v>
      </c>
      <c r="AA267" s="123">
        <v>24</v>
      </c>
      <c r="AB267" s="118">
        <v>5524</v>
      </c>
      <c r="AC267" s="117"/>
      <c r="AD267" s="118">
        <f t="shared" si="41"/>
        <v>1191.0999999999999</v>
      </c>
      <c r="AE267" s="118"/>
      <c r="AF267" s="118" t="e">
        <f>#REF!-AE267</f>
        <v>#REF!</v>
      </c>
      <c r="AG267" s="128">
        <v>30</v>
      </c>
      <c r="AH267" s="118" t="e">
        <f>#REF!-AG267</f>
        <v>#REF!</v>
      </c>
      <c r="AI267" s="118">
        <v>24</v>
      </c>
      <c r="AJ267" s="118"/>
      <c r="AK267" s="120" t="e">
        <f t="shared" si="45"/>
        <v>#REF!</v>
      </c>
      <c r="AL267" s="109">
        <f t="shared" si="39"/>
        <v>0</v>
      </c>
      <c r="AM267" s="109">
        <f t="shared" si="39"/>
        <v>0</v>
      </c>
    </row>
    <row r="268" spans="1:39" ht="13.5" x14ac:dyDescent="0.25">
      <c r="A268" s="121">
        <v>65</v>
      </c>
      <c r="B268" s="122" t="s">
        <v>159</v>
      </c>
      <c r="C268" s="122">
        <v>24</v>
      </c>
      <c r="D268" s="122">
        <v>3</v>
      </c>
      <c r="E268" s="204">
        <f>142+43.3</f>
        <v>185.3</v>
      </c>
      <c r="F268" s="123">
        <f>1499+E268</f>
        <v>1684.3</v>
      </c>
      <c r="G268" s="123">
        <v>560.29999999999995</v>
      </c>
      <c r="H268" s="118">
        <v>98</v>
      </c>
      <c r="I268" s="118">
        <v>517</v>
      </c>
      <c r="J268" s="118">
        <v>509</v>
      </c>
      <c r="K268" s="123">
        <f t="shared" si="34"/>
        <v>560.29999999999995</v>
      </c>
      <c r="L268" s="124">
        <f t="shared" si="35"/>
        <v>49</v>
      </c>
      <c r="M268" s="124">
        <f t="shared" si="35"/>
        <v>258.5</v>
      </c>
      <c r="N268" s="124">
        <f t="shared" si="35"/>
        <v>254.5</v>
      </c>
      <c r="O268" s="124">
        <f t="shared" si="44"/>
        <v>1122.3</v>
      </c>
      <c r="P268" s="124">
        <f t="shared" si="46"/>
        <v>49</v>
      </c>
      <c r="Q268" s="124">
        <f t="shared" si="46"/>
        <v>258.5</v>
      </c>
      <c r="R268" s="124">
        <f t="shared" si="46"/>
        <v>254.5</v>
      </c>
      <c r="S268" s="118">
        <f t="shared" si="38"/>
        <v>562</v>
      </c>
      <c r="T268" s="204"/>
      <c r="U268" s="204"/>
      <c r="V268" s="118">
        <v>115</v>
      </c>
      <c r="W268" s="123" t="e">
        <f>'[1]убор.пл. ф-8 сост. 01.01.11 г.'!S284+'[1]убор.пл. ф-8 сост. 01.01.11 г.'!W284+'[1]убор.пл. ф-8 сост. 01.01.11 г.'!AC284+'[1]убор.пл. ф-8 сост. 01.01.11 г.'!AD284</f>
        <v>#REF!</v>
      </c>
      <c r="X268" s="123"/>
      <c r="Y268" s="123">
        <f>4377-E268</f>
        <v>4191.7</v>
      </c>
      <c r="Z268" s="118">
        <v>0</v>
      </c>
      <c r="AA268" s="123"/>
      <c r="AB268" s="118">
        <v>5991</v>
      </c>
      <c r="AC268" s="205"/>
      <c r="AD268" s="206">
        <f t="shared" si="41"/>
        <v>1122.3</v>
      </c>
      <c r="AE268" s="206"/>
      <c r="AF268" s="206" t="e">
        <f>#REF!-AE268</f>
        <v>#REF!</v>
      </c>
      <c r="AG268" s="207">
        <v>6</v>
      </c>
      <c r="AH268" s="206" t="e">
        <f>#REF!-AG268</f>
        <v>#REF!</v>
      </c>
      <c r="AI268" s="206"/>
      <c r="AJ268" s="206"/>
      <c r="AK268" s="208" t="e">
        <f t="shared" si="45"/>
        <v>#REF!</v>
      </c>
      <c r="AL268" s="109">
        <f t="shared" si="39"/>
        <v>0</v>
      </c>
      <c r="AM268" s="109">
        <f t="shared" si="39"/>
        <v>0</v>
      </c>
    </row>
    <row r="269" spans="1:39" s="109" customFormat="1" ht="13.5" x14ac:dyDescent="0.25">
      <c r="A269" s="121">
        <v>66</v>
      </c>
      <c r="B269" s="122" t="s">
        <v>159</v>
      </c>
      <c r="C269" s="122">
        <v>26</v>
      </c>
      <c r="D269" s="122">
        <v>1</v>
      </c>
      <c r="E269" s="123">
        <f>215.97+392.7</f>
        <v>608.66999999999996</v>
      </c>
      <c r="F269" s="123">
        <f>2021+E269</f>
        <v>2629.67</v>
      </c>
      <c r="G269" s="123">
        <v>948.67</v>
      </c>
      <c r="H269" s="118">
        <v>293</v>
      </c>
      <c r="I269" s="118">
        <v>391</v>
      </c>
      <c r="J269" s="118">
        <v>997</v>
      </c>
      <c r="K269" s="123">
        <f t="shared" ref="K269:K285" si="47">G269</f>
        <v>948.67</v>
      </c>
      <c r="L269" s="124">
        <f t="shared" ref="L269:N285" si="48">H269/2</f>
        <v>146.5</v>
      </c>
      <c r="M269" s="124">
        <f t="shared" si="48"/>
        <v>195.5</v>
      </c>
      <c r="N269" s="124">
        <f t="shared" si="48"/>
        <v>498.5</v>
      </c>
      <c r="O269" s="124">
        <f t="shared" si="44"/>
        <v>1789.17</v>
      </c>
      <c r="P269" s="124">
        <f t="shared" si="46"/>
        <v>146.5</v>
      </c>
      <c r="Q269" s="124">
        <f t="shared" si="46"/>
        <v>195.5</v>
      </c>
      <c r="R269" s="124">
        <f t="shared" si="46"/>
        <v>498.5</v>
      </c>
      <c r="S269" s="118">
        <f t="shared" ref="S269:S285" si="49">P269+Q269+R269</f>
        <v>840.5</v>
      </c>
      <c r="T269" s="123"/>
      <c r="U269" s="123"/>
      <c r="V269" s="118">
        <v>448</v>
      </c>
      <c r="W269" s="123" t="e">
        <f>'[1]убор.пл. ф-8 сост. 01.01.11 г.'!S285+'[1]убор.пл. ф-8 сост. 01.01.11 г.'!W285+'[1]убор.пл. ф-8 сост. 01.01.11 г.'!AC285+'[1]убор.пл. ф-8 сост. 01.01.11 г.'!AD285</f>
        <v>#REF!</v>
      </c>
      <c r="X269" s="123"/>
      <c r="Y269" s="123">
        <f>5976-E269</f>
        <v>5367.33</v>
      </c>
      <c r="Z269" s="118">
        <v>3472</v>
      </c>
      <c r="AA269" s="123">
        <v>16</v>
      </c>
      <c r="AB269" s="118">
        <v>11917</v>
      </c>
      <c r="AC269" s="117"/>
      <c r="AD269" s="118">
        <f t="shared" si="41"/>
        <v>1789.17</v>
      </c>
      <c r="AE269" s="118"/>
      <c r="AF269" s="118" t="e">
        <f>#REF!-AE269</f>
        <v>#REF!</v>
      </c>
      <c r="AG269" s="128">
        <v>72</v>
      </c>
      <c r="AH269" s="118" t="e">
        <f>#REF!-AG269</f>
        <v>#REF!</v>
      </c>
      <c r="AI269" s="118">
        <v>16</v>
      </c>
      <c r="AJ269" s="128"/>
      <c r="AK269" s="120" t="e">
        <f t="shared" si="45"/>
        <v>#REF!</v>
      </c>
      <c r="AL269" s="109">
        <f t="shared" ref="AL269:AM285" si="50">IF(M269=Q269,0,"А")</f>
        <v>0</v>
      </c>
      <c r="AM269" s="109">
        <f t="shared" si="50"/>
        <v>0</v>
      </c>
    </row>
    <row r="270" spans="1:39" ht="13.5" x14ac:dyDescent="0.25">
      <c r="A270" s="121">
        <v>67</v>
      </c>
      <c r="B270" s="122" t="s">
        <v>159</v>
      </c>
      <c r="C270" s="122">
        <v>26</v>
      </c>
      <c r="D270" s="122">
        <v>2</v>
      </c>
      <c r="E270" s="204"/>
      <c r="F270" s="123">
        <v>1535</v>
      </c>
      <c r="G270" s="123">
        <v>207</v>
      </c>
      <c r="H270" s="118">
        <v>222</v>
      </c>
      <c r="I270" s="118">
        <v>572</v>
      </c>
      <c r="J270" s="118">
        <v>534</v>
      </c>
      <c r="K270" s="123">
        <f t="shared" si="47"/>
        <v>207</v>
      </c>
      <c r="L270" s="124">
        <f t="shared" si="48"/>
        <v>111</v>
      </c>
      <c r="M270" s="124">
        <f t="shared" si="48"/>
        <v>286</v>
      </c>
      <c r="N270" s="124">
        <f t="shared" si="48"/>
        <v>267</v>
      </c>
      <c r="O270" s="124">
        <f t="shared" si="44"/>
        <v>871</v>
      </c>
      <c r="P270" s="124">
        <f t="shared" si="46"/>
        <v>111</v>
      </c>
      <c r="Q270" s="124">
        <f t="shared" si="46"/>
        <v>286</v>
      </c>
      <c r="R270" s="124">
        <f t="shared" si="46"/>
        <v>267</v>
      </c>
      <c r="S270" s="118">
        <f t="shared" si="49"/>
        <v>664</v>
      </c>
      <c r="T270" s="204"/>
      <c r="U270" s="204"/>
      <c r="V270" s="118">
        <v>0</v>
      </c>
      <c r="W270" s="123" t="e">
        <f>'[1]убор.пл. ф-8 сост. 01.01.11 г.'!S286+'[1]убор.пл. ф-8 сост. 01.01.11 г.'!W286+'[1]убор.пл. ф-8 сост. 01.01.11 г.'!AC286+'[1]убор.пл. ф-8 сост. 01.01.11 г.'!AD286</f>
        <v>#REF!</v>
      </c>
      <c r="X270" s="123"/>
      <c r="Y270" s="123">
        <v>3583</v>
      </c>
      <c r="Z270" s="118">
        <v>0</v>
      </c>
      <c r="AA270" s="123"/>
      <c r="AB270" s="118">
        <v>5118</v>
      </c>
      <c r="AC270" s="205"/>
      <c r="AD270" s="206">
        <f t="shared" si="41"/>
        <v>871</v>
      </c>
      <c r="AE270" s="206"/>
      <c r="AF270" s="206" t="e">
        <f>#REF!-AE270</f>
        <v>#REF!</v>
      </c>
      <c r="AG270" s="206"/>
      <c r="AH270" s="206" t="e">
        <f>#REF!-AG270</f>
        <v>#REF!</v>
      </c>
      <c r="AI270" s="206"/>
      <c r="AJ270" s="206"/>
      <c r="AK270" s="208" t="e">
        <f t="shared" si="45"/>
        <v>#REF!</v>
      </c>
      <c r="AL270" s="109">
        <f t="shared" si="50"/>
        <v>0</v>
      </c>
      <c r="AM270" s="109">
        <f t="shared" si="50"/>
        <v>0</v>
      </c>
    </row>
    <row r="271" spans="1:39" ht="13.5" x14ac:dyDescent="0.25">
      <c r="A271" s="121">
        <v>68</v>
      </c>
      <c r="B271" s="122" t="s">
        <v>159</v>
      </c>
      <c r="C271" s="122">
        <v>26</v>
      </c>
      <c r="D271" s="122">
        <v>3</v>
      </c>
      <c r="E271" s="204"/>
      <c r="F271" s="123">
        <v>1589</v>
      </c>
      <c r="G271" s="123">
        <v>306</v>
      </c>
      <c r="H271" s="118">
        <v>179</v>
      </c>
      <c r="I271" s="118">
        <v>195</v>
      </c>
      <c r="J271" s="118">
        <v>909</v>
      </c>
      <c r="K271" s="123">
        <f t="shared" si="47"/>
        <v>306</v>
      </c>
      <c r="L271" s="124">
        <f t="shared" si="48"/>
        <v>89.5</v>
      </c>
      <c r="M271" s="124">
        <f t="shared" si="48"/>
        <v>97.5</v>
      </c>
      <c r="N271" s="124">
        <f t="shared" si="48"/>
        <v>454.5</v>
      </c>
      <c r="O271" s="124">
        <f t="shared" si="44"/>
        <v>947.5</v>
      </c>
      <c r="P271" s="124">
        <f t="shared" si="46"/>
        <v>89.5</v>
      </c>
      <c r="Q271" s="124">
        <f t="shared" si="46"/>
        <v>97.5</v>
      </c>
      <c r="R271" s="124">
        <f t="shared" si="46"/>
        <v>454.5</v>
      </c>
      <c r="S271" s="118">
        <f t="shared" si="49"/>
        <v>641.5</v>
      </c>
      <c r="T271" s="204"/>
      <c r="U271" s="204"/>
      <c r="V271" s="118">
        <v>0</v>
      </c>
      <c r="W271" s="123" t="e">
        <f>'[1]убор.пл. ф-8 сост. 01.01.11 г.'!S287+'[1]убор.пл. ф-8 сост. 01.01.11 г.'!W287+'[1]убор.пл. ф-8 сост. 01.01.11 г.'!AC287+'[1]убор.пл. ф-8 сост. 01.01.11 г.'!AD287</f>
        <v>#REF!</v>
      </c>
      <c r="X271" s="123"/>
      <c r="Y271" s="123">
        <v>2989</v>
      </c>
      <c r="Z271" s="118">
        <v>0</v>
      </c>
      <c r="AA271" s="123">
        <v>16</v>
      </c>
      <c r="AB271" s="118">
        <v>4578</v>
      </c>
      <c r="AC271" s="205"/>
      <c r="AD271" s="206">
        <f t="shared" si="41"/>
        <v>947.5</v>
      </c>
      <c r="AE271" s="206"/>
      <c r="AF271" s="206" t="e">
        <f>#REF!-AE271</f>
        <v>#REF!</v>
      </c>
      <c r="AG271" s="207">
        <v>6</v>
      </c>
      <c r="AH271" s="206" t="e">
        <f>#REF!-AG271</f>
        <v>#REF!</v>
      </c>
      <c r="AI271" s="206">
        <v>16</v>
      </c>
      <c r="AJ271" s="207"/>
      <c r="AK271" s="208" t="e">
        <f t="shared" si="45"/>
        <v>#REF!</v>
      </c>
      <c r="AL271" s="109">
        <f t="shared" si="50"/>
        <v>0</v>
      </c>
      <c r="AM271" s="109">
        <f t="shared" si="50"/>
        <v>0</v>
      </c>
    </row>
    <row r="272" spans="1:39" s="109" customFormat="1" ht="13.5" x14ac:dyDescent="0.25">
      <c r="A272" s="121">
        <v>69</v>
      </c>
      <c r="B272" s="122" t="s">
        <v>159</v>
      </c>
      <c r="C272" s="122">
        <v>28</v>
      </c>
      <c r="D272" s="122">
        <v>2</v>
      </c>
      <c r="E272" s="123"/>
      <c r="F272" s="123">
        <f>746</f>
        <v>746</v>
      </c>
      <c r="G272" s="123">
        <v>276</v>
      </c>
      <c r="H272" s="118">
        <v>28</v>
      </c>
      <c r="I272" s="118">
        <v>442</v>
      </c>
      <c r="J272" s="118">
        <v>0</v>
      </c>
      <c r="K272" s="123">
        <f t="shared" si="47"/>
        <v>276</v>
      </c>
      <c r="L272" s="124">
        <f t="shared" si="48"/>
        <v>14</v>
      </c>
      <c r="M272" s="124">
        <f t="shared" si="48"/>
        <v>221</v>
      </c>
      <c r="N272" s="124">
        <f t="shared" si="48"/>
        <v>0</v>
      </c>
      <c r="O272" s="124">
        <f t="shared" si="44"/>
        <v>511</v>
      </c>
      <c r="P272" s="124">
        <f t="shared" si="46"/>
        <v>14</v>
      </c>
      <c r="Q272" s="124">
        <f t="shared" si="46"/>
        <v>221</v>
      </c>
      <c r="R272" s="124">
        <f t="shared" si="46"/>
        <v>0</v>
      </c>
      <c r="S272" s="118">
        <f t="shared" si="49"/>
        <v>235</v>
      </c>
      <c r="T272" s="123"/>
      <c r="U272" s="123"/>
      <c r="V272" s="118">
        <v>72</v>
      </c>
      <c r="W272" s="123" t="e">
        <f>'[1]убор.пл. ф-8 сост. 01.01.11 г.'!S289+'[1]убор.пл. ф-8 сост. 01.01.11 г.'!W289+'[1]убор.пл. ф-8 сост. 01.01.11 г.'!AC289+'[1]убор.пл. ф-8 сост. 01.01.11 г.'!AD289</f>
        <v>#REF!</v>
      </c>
      <c r="X272" s="123"/>
      <c r="Y272" s="123">
        <f>2559-E272</f>
        <v>2559</v>
      </c>
      <c r="Z272" s="118">
        <v>0</v>
      </c>
      <c r="AA272" s="123"/>
      <c r="AB272" s="118">
        <v>3377</v>
      </c>
      <c r="AC272" s="117">
        <v>12</v>
      </c>
      <c r="AD272" s="118">
        <f t="shared" si="41"/>
        <v>499</v>
      </c>
      <c r="AE272" s="118"/>
      <c r="AF272" s="118" t="e">
        <f>#REF!-AE272</f>
        <v>#REF!</v>
      </c>
      <c r="AG272" s="118">
        <v>12</v>
      </c>
      <c r="AH272" s="118" t="e">
        <f>#REF!-AG272</f>
        <v>#REF!</v>
      </c>
      <c r="AI272" s="118"/>
      <c r="AJ272" s="118"/>
      <c r="AK272" s="120" t="e">
        <f t="shared" si="45"/>
        <v>#REF!</v>
      </c>
      <c r="AL272" s="109">
        <f t="shared" si="50"/>
        <v>0</v>
      </c>
      <c r="AM272" s="109">
        <f t="shared" si="50"/>
        <v>0</v>
      </c>
    </row>
    <row r="273" spans="1:39" s="109" customFormat="1" ht="13.5" x14ac:dyDescent="0.25">
      <c r="A273" s="121">
        <v>70</v>
      </c>
      <c r="B273" s="122" t="s">
        <v>159</v>
      </c>
      <c r="C273" s="122">
        <v>28</v>
      </c>
      <c r="D273" s="122">
        <v>3</v>
      </c>
      <c r="E273" s="123">
        <f>175.77+343.46+2574.8</f>
        <v>3094.03</v>
      </c>
      <c r="F273" s="123">
        <f>1310+E273</f>
        <v>4404.0300000000007</v>
      </c>
      <c r="G273" s="123">
        <v>3318.03</v>
      </c>
      <c r="H273" s="118">
        <v>275</v>
      </c>
      <c r="I273" s="118">
        <v>429</v>
      </c>
      <c r="J273" s="118">
        <v>382</v>
      </c>
      <c r="K273" s="123">
        <f t="shared" si="47"/>
        <v>3318.03</v>
      </c>
      <c r="L273" s="124">
        <f t="shared" si="48"/>
        <v>137.5</v>
      </c>
      <c r="M273" s="124">
        <f t="shared" si="48"/>
        <v>214.5</v>
      </c>
      <c r="N273" s="124">
        <f t="shared" si="48"/>
        <v>191</v>
      </c>
      <c r="O273" s="124">
        <f t="shared" si="44"/>
        <v>3861.03</v>
      </c>
      <c r="P273" s="124">
        <f t="shared" si="46"/>
        <v>137.5</v>
      </c>
      <c r="Q273" s="124">
        <f t="shared" si="46"/>
        <v>214.5</v>
      </c>
      <c r="R273" s="124">
        <f t="shared" si="46"/>
        <v>191</v>
      </c>
      <c r="S273" s="118">
        <f t="shared" si="49"/>
        <v>543</v>
      </c>
      <c r="T273" s="123"/>
      <c r="U273" s="123"/>
      <c r="V273" s="118">
        <v>241</v>
      </c>
      <c r="W273" s="123" t="e">
        <f>'[1]убор.пл. ф-8 сост. 01.01.11 г.'!S290+'[1]убор.пл. ф-8 сост. 01.01.11 г.'!W290+'[1]убор.пл. ф-8 сост. 01.01.11 г.'!AC290+'[1]убор.пл. ф-8 сост. 01.01.11 г.'!AD290</f>
        <v>#REF!</v>
      </c>
      <c r="X273" s="123"/>
      <c r="Y273" s="123">
        <f>5384-E273</f>
        <v>2289.9699999999998</v>
      </c>
      <c r="Z273" s="118">
        <v>0</v>
      </c>
      <c r="AA273" s="123"/>
      <c r="AB273" s="118">
        <v>6935</v>
      </c>
      <c r="AC273" s="117"/>
      <c r="AD273" s="118">
        <f t="shared" si="41"/>
        <v>3861.03</v>
      </c>
      <c r="AE273" s="118"/>
      <c r="AF273" s="118" t="e">
        <f>#REF!-AE273</f>
        <v>#REF!</v>
      </c>
      <c r="AG273" s="118"/>
      <c r="AH273" s="118" t="e">
        <f>#REF!-AG273</f>
        <v>#REF!</v>
      </c>
      <c r="AI273" s="118"/>
      <c r="AJ273" s="118"/>
      <c r="AK273" s="120" t="e">
        <f t="shared" si="45"/>
        <v>#REF!</v>
      </c>
      <c r="AL273" s="109">
        <f t="shared" si="50"/>
        <v>0</v>
      </c>
      <c r="AM273" s="109">
        <f t="shared" si="50"/>
        <v>0</v>
      </c>
    </row>
    <row r="274" spans="1:39" ht="13.5" x14ac:dyDescent="0.25">
      <c r="A274" s="121">
        <v>71</v>
      </c>
      <c r="B274" s="122" t="s">
        <v>159</v>
      </c>
      <c r="C274" s="122">
        <v>30</v>
      </c>
      <c r="D274" s="122">
        <v>1</v>
      </c>
      <c r="E274" s="204"/>
      <c r="F274" s="123">
        <v>2465</v>
      </c>
      <c r="G274" s="123">
        <v>368</v>
      </c>
      <c r="H274" s="118">
        <v>248</v>
      </c>
      <c r="I274" s="118">
        <v>676</v>
      </c>
      <c r="J274" s="118">
        <v>1173</v>
      </c>
      <c r="K274" s="123">
        <f t="shared" si="47"/>
        <v>368</v>
      </c>
      <c r="L274" s="124">
        <f t="shared" si="48"/>
        <v>124</v>
      </c>
      <c r="M274" s="124">
        <f t="shared" si="48"/>
        <v>338</v>
      </c>
      <c r="N274" s="124">
        <f t="shared" si="48"/>
        <v>586.5</v>
      </c>
      <c r="O274" s="124">
        <f t="shared" si="44"/>
        <v>1416.5</v>
      </c>
      <c r="P274" s="124">
        <f t="shared" si="46"/>
        <v>124</v>
      </c>
      <c r="Q274" s="124">
        <f t="shared" si="46"/>
        <v>338</v>
      </c>
      <c r="R274" s="124">
        <f t="shared" si="46"/>
        <v>586.5</v>
      </c>
      <c r="S274" s="118">
        <f t="shared" si="49"/>
        <v>1048.5</v>
      </c>
      <c r="T274" s="204"/>
      <c r="U274" s="204"/>
      <c r="V274" s="118">
        <v>70</v>
      </c>
      <c r="W274" s="123" t="e">
        <f>'[1]убор.пл. ф-8 сост. 01.01.11 г.'!S291+'[1]убор.пл. ф-8 сост. 01.01.11 г.'!W291+'[1]убор.пл. ф-8 сост. 01.01.11 г.'!AC291+'[1]убор.пл. ф-8 сост. 01.01.11 г.'!AD291</f>
        <v>#REF!</v>
      </c>
      <c r="X274" s="123"/>
      <c r="Y274" s="123">
        <v>14935</v>
      </c>
      <c r="Z274" s="118">
        <v>0</v>
      </c>
      <c r="AA274" s="123">
        <v>7</v>
      </c>
      <c r="AB274" s="118">
        <v>17470</v>
      </c>
      <c r="AC274" s="205"/>
      <c r="AD274" s="206">
        <f t="shared" si="41"/>
        <v>1416.5</v>
      </c>
      <c r="AE274" s="206">
        <v>6</v>
      </c>
      <c r="AF274" s="206" t="e">
        <f>#REF!-AE274</f>
        <v>#REF!</v>
      </c>
      <c r="AG274" s="206"/>
      <c r="AH274" s="206" t="e">
        <f>#REF!-AG274</f>
        <v>#REF!</v>
      </c>
      <c r="AI274" s="206">
        <v>7</v>
      </c>
      <c r="AJ274" s="207"/>
      <c r="AK274" s="208" t="e">
        <f t="shared" si="45"/>
        <v>#REF!</v>
      </c>
      <c r="AL274" s="109">
        <f t="shared" si="50"/>
        <v>0</v>
      </c>
      <c r="AM274" s="109">
        <f t="shared" si="50"/>
        <v>0</v>
      </c>
    </row>
    <row r="275" spans="1:39" ht="13.5" x14ac:dyDescent="0.25">
      <c r="A275" s="121">
        <v>72</v>
      </c>
      <c r="B275" s="122" t="s">
        <v>159</v>
      </c>
      <c r="C275" s="122">
        <v>30</v>
      </c>
      <c r="D275" s="122">
        <v>2</v>
      </c>
      <c r="E275" s="204"/>
      <c r="F275" s="123">
        <v>1147</v>
      </c>
      <c r="G275" s="123">
        <v>178</v>
      </c>
      <c r="H275" s="118">
        <v>0</v>
      </c>
      <c r="I275" s="118">
        <v>695</v>
      </c>
      <c r="J275" s="118">
        <v>274</v>
      </c>
      <c r="K275" s="123">
        <f t="shared" si="47"/>
        <v>178</v>
      </c>
      <c r="L275" s="124">
        <f t="shared" si="48"/>
        <v>0</v>
      </c>
      <c r="M275" s="124">
        <f t="shared" si="48"/>
        <v>347.5</v>
      </c>
      <c r="N275" s="124">
        <f t="shared" si="48"/>
        <v>137</v>
      </c>
      <c r="O275" s="124">
        <f t="shared" si="44"/>
        <v>662.5</v>
      </c>
      <c r="P275" s="124">
        <f t="shared" si="46"/>
        <v>0</v>
      </c>
      <c r="Q275" s="124">
        <f t="shared" si="46"/>
        <v>347.5</v>
      </c>
      <c r="R275" s="124">
        <f t="shared" si="46"/>
        <v>137</v>
      </c>
      <c r="S275" s="118">
        <f t="shared" si="49"/>
        <v>484.5</v>
      </c>
      <c r="T275" s="204"/>
      <c r="U275" s="204"/>
      <c r="V275" s="118">
        <v>0</v>
      </c>
      <c r="W275" s="123">
        <f>'[1]убор.пл. ф-8 сост. 01.01.11 г.'!S292+'[1]убор.пл. ф-8 сост. 01.01.11 г.'!W292+'[1]убор.пл. ф-8 сост. 01.01.11 г.'!AC292+'[1]убор.пл. ф-8 сост. 01.01.11 г.'!AD292</f>
        <v>342809</v>
      </c>
      <c r="X275" s="123"/>
      <c r="Y275" s="123">
        <v>1582</v>
      </c>
      <c r="Z275" s="118">
        <v>0</v>
      </c>
      <c r="AA275" s="123"/>
      <c r="AB275" s="118">
        <v>2729</v>
      </c>
      <c r="AC275" s="205"/>
      <c r="AD275" s="206">
        <f t="shared" si="41"/>
        <v>662.5</v>
      </c>
      <c r="AE275" s="206"/>
      <c r="AF275" s="206" t="e">
        <f>#REF!-AE275</f>
        <v>#REF!</v>
      </c>
      <c r="AG275" s="206"/>
      <c r="AH275" s="206" t="e">
        <f>#REF!-AG275</f>
        <v>#REF!</v>
      </c>
      <c r="AI275" s="206"/>
      <c r="AJ275" s="206"/>
      <c r="AK275" s="208">
        <f t="shared" si="45"/>
        <v>343956</v>
      </c>
      <c r="AL275" s="109">
        <f t="shared" si="50"/>
        <v>0</v>
      </c>
      <c r="AM275" s="109">
        <f t="shared" si="50"/>
        <v>0</v>
      </c>
    </row>
    <row r="276" spans="1:39" ht="13.5" x14ac:dyDescent="0.25">
      <c r="A276" s="121">
        <v>73</v>
      </c>
      <c r="B276" s="122" t="s">
        <v>159</v>
      </c>
      <c r="C276" s="122">
        <v>30</v>
      </c>
      <c r="D276" s="122">
        <v>3</v>
      </c>
      <c r="E276" s="204"/>
      <c r="F276" s="123">
        <v>979</v>
      </c>
      <c r="G276" s="123">
        <v>143</v>
      </c>
      <c r="H276" s="118">
        <v>14</v>
      </c>
      <c r="I276" s="118">
        <v>362</v>
      </c>
      <c r="J276" s="118">
        <v>460</v>
      </c>
      <c r="K276" s="123">
        <f t="shared" si="47"/>
        <v>143</v>
      </c>
      <c r="L276" s="124">
        <f t="shared" si="48"/>
        <v>7</v>
      </c>
      <c r="M276" s="124">
        <f t="shared" si="48"/>
        <v>181</v>
      </c>
      <c r="N276" s="124">
        <f t="shared" si="48"/>
        <v>230</v>
      </c>
      <c r="O276" s="124">
        <f t="shared" si="44"/>
        <v>561</v>
      </c>
      <c r="P276" s="124">
        <f t="shared" si="46"/>
        <v>7</v>
      </c>
      <c r="Q276" s="124">
        <f t="shared" si="46"/>
        <v>181</v>
      </c>
      <c r="R276" s="124">
        <f t="shared" si="46"/>
        <v>230</v>
      </c>
      <c r="S276" s="118">
        <f t="shared" si="49"/>
        <v>418</v>
      </c>
      <c r="T276" s="204"/>
      <c r="U276" s="204"/>
      <c r="V276" s="118">
        <v>0</v>
      </c>
      <c r="W276" s="123" t="e">
        <f>'[1]убор.пл. ф-8 сост. 01.01.11 г.'!S293+'[1]убор.пл. ф-8 сост. 01.01.11 г.'!W293+'[1]убор.пл. ф-8 сост. 01.01.11 г.'!AC293+'[1]убор.пл. ф-8 сост. 01.01.11 г.'!AD293</f>
        <v>#REF!</v>
      </c>
      <c r="X276" s="123"/>
      <c r="Y276" s="123">
        <v>3818</v>
      </c>
      <c r="Z276" s="118">
        <v>137</v>
      </c>
      <c r="AA276" s="123">
        <v>9</v>
      </c>
      <c r="AB276" s="118">
        <v>4934</v>
      </c>
      <c r="AC276" s="205"/>
      <c r="AD276" s="206">
        <f t="shared" si="41"/>
        <v>561</v>
      </c>
      <c r="AE276" s="206"/>
      <c r="AF276" s="206" t="e">
        <f>#REF!-AE276</f>
        <v>#REF!</v>
      </c>
      <c r="AG276" s="207">
        <v>6</v>
      </c>
      <c r="AH276" s="206" t="e">
        <f>#REF!-AG276</f>
        <v>#REF!</v>
      </c>
      <c r="AI276" s="206">
        <v>9</v>
      </c>
      <c r="AJ276" s="206"/>
      <c r="AK276" s="208" t="e">
        <f t="shared" si="45"/>
        <v>#REF!</v>
      </c>
      <c r="AL276" s="109">
        <f t="shared" si="50"/>
        <v>0</v>
      </c>
      <c r="AM276" s="109">
        <f t="shared" si="50"/>
        <v>0</v>
      </c>
    </row>
    <row r="277" spans="1:39" ht="13.5" x14ac:dyDescent="0.25">
      <c r="A277" s="121">
        <v>74</v>
      </c>
      <c r="B277" s="122" t="s">
        <v>159</v>
      </c>
      <c r="C277" s="122">
        <v>30</v>
      </c>
      <c r="D277" s="122">
        <v>4</v>
      </c>
      <c r="E277" s="204"/>
      <c r="F277" s="123">
        <v>1166</v>
      </c>
      <c r="G277" s="123">
        <v>174</v>
      </c>
      <c r="H277" s="118">
        <v>15</v>
      </c>
      <c r="I277" s="118">
        <v>525</v>
      </c>
      <c r="J277" s="118">
        <v>452</v>
      </c>
      <c r="K277" s="123">
        <f t="shared" si="47"/>
        <v>174</v>
      </c>
      <c r="L277" s="124">
        <f t="shared" si="48"/>
        <v>7.5</v>
      </c>
      <c r="M277" s="124">
        <f t="shared" si="48"/>
        <v>262.5</v>
      </c>
      <c r="N277" s="124">
        <f t="shared" si="48"/>
        <v>226</v>
      </c>
      <c r="O277" s="124">
        <f t="shared" si="44"/>
        <v>670</v>
      </c>
      <c r="P277" s="124">
        <f t="shared" si="46"/>
        <v>7.5</v>
      </c>
      <c r="Q277" s="124">
        <f t="shared" si="46"/>
        <v>262.5</v>
      </c>
      <c r="R277" s="124">
        <f t="shared" si="46"/>
        <v>226</v>
      </c>
      <c r="S277" s="118">
        <f t="shared" si="49"/>
        <v>496</v>
      </c>
      <c r="T277" s="204"/>
      <c r="U277" s="204"/>
      <c r="V277" s="118">
        <v>0</v>
      </c>
      <c r="W277" s="123" t="e">
        <f>'[1]убор.пл. ф-8 сост. 01.01.11 г.'!S294+'[1]убор.пл. ф-8 сост. 01.01.11 г.'!W294+'[1]убор.пл. ф-8 сост. 01.01.11 г.'!AC294+'[1]убор.пл. ф-8 сост. 01.01.11 г.'!AD294</f>
        <v>#REF!</v>
      </c>
      <c r="X277" s="123"/>
      <c r="Y277" s="123">
        <v>2518</v>
      </c>
      <c r="Z277" s="118">
        <v>0</v>
      </c>
      <c r="AA277" s="123"/>
      <c r="AB277" s="118">
        <v>3684</v>
      </c>
      <c r="AC277" s="205"/>
      <c r="AD277" s="206">
        <f t="shared" si="41"/>
        <v>670</v>
      </c>
      <c r="AE277" s="206"/>
      <c r="AF277" s="206" t="e">
        <f>#REF!-AE277</f>
        <v>#REF!</v>
      </c>
      <c r="AG277" s="207">
        <v>84</v>
      </c>
      <c r="AH277" s="206" t="e">
        <f>#REF!-AG277</f>
        <v>#REF!</v>
      </c>
      <c r="AI277" s="206"/>
      <c r="AJ277" s="207"/>
      <c r="AK277" s="208" t="e">
        <f t="shared" si="45"/>
        <v>#REF!</v>
      </c>
      <c r="AL277" s="109">
        <f t="shared" si="50"/>
        <v>0</v>
      </c>
      <c r="AM277" s="109">
        <f t="shared" si="50"/>
        <v>0</v>
      </c>
    </row>
    <row r="278" spans="1:39" s="109" customFormat="1" ht="13.5" x14ac:dyDescent="0.25">
      <c r="A278" s="121">
        <v>75</v>
      </c>
      <c r="B278" s="122" t="s">
        <v>159</v>
      </c>
      <c r="C278" s="122">
        <v>30</v>
      </c>
      <c r="D278" s="122">
        <v>5</v>
      </c>
      <c r="E278" s="123">
        <f>89.44+129.5</f>
        <v>218.94</v>
      </c>
      <c r="F278" s="123">
        <f>584+E278</f>
        <v>802.94</v>
      </c>
      <c r="G278" s="123">
        <v>337.94</v>
      </c>
      <c r="H278" s="118">
        <v>72</v>
      </c>
      <c r="I278" s="118">
        <v>113</v>
      </c>
      <c r="J278" s="118">
        <v>280</v>
      </c>
      <c r="K278" s="123">
        <f t="shared" si="47"/>
        <v>337.94</v>
      </c>
      <c r="L278" s="124">
        <f t="shared" si="48"/>
        <v>36</v>
      </c>
      <c r="M278" s="124">
        <f t="shared" si="48"/>
        <v>56.5</v>
      </c>
      <c r="N278" s="124">
        <f t="shared" si="48"/>
        <v>140</v>
      </c>
      <c r="O278" s="124">
        <f t="shared" si="44"/>
        <v>570.44000000000005</v>
      </c>
      <c r="P278" s="124">
        <f t="shared" si="46"/>
        <v>36</v>
      </c>
      <c r="Q278" s="124">
        <f t="shared" si="46"/>
        <v>56.5</v>
      </c>
      <c r="R278" s="124">
        <f t="shared" si="46"/>
        <v>140</v>
      </c>
      <c r="S278" s="118">
        <f t="shared" si="49"/>
        <v>232.5</v>
      </c>
      <c r="T278" s="123"/>
      <c r="U278" s="123"/>
      <c r="V278" s="118">
        <v>243</v>
      </c>
      <c r="W278" s="123" t="e">
        <f>'[1]убор.пл. ф-8 сост. 01.01.11 г.'!S295+'[1]убор.пл. ф-8 сост. 01.01.11 г.'!W295+'[1]убор.пл. ф-8 сост. 01.01.11 г.'!AC295+'[1]убор.пл. ф-8 сост. 01.01.11 г.'!AD295</f>
        <v>#REF!</v>
      </c>
      <c r="X278" s="123"/>
      <c r="Y278" s="123">
        <f>3914-E278</f>
        <v>3695.06</v>
      </c>
      <c r="Z278" s="118">
        <v>0</v>
      </c>
      <c r="AA278" s="123"/>
      <c r="AB278" s="118">
        <v>4741</v>
      </c>
      <c r="AC278" s="117"/>
      <c r="AD278" s="118">
        <f t="shared" si="41"/>
        <v>570.44000000000005</v>
      </c>
      <c r="AE278" s="118"/>
      <c r="AF278" s="118" t="e">
        <f>#REF!-AE278</f>
        <v>#REF!</v>
      </c>
      <c r="AG278" s="128"/>
      <c r="AH278" s="118" t="e">
        <f>#REF!-AG278</f>
        <v>#REF!</v>
      </c>
      <c r="AI278" s="118"/>
      <c r="AJ278" s="118"/>
      <c r="AK278" s="120" t="e">
        <f t="shared" si="45"/>
        <v>#REF!</v>
      </c>
      <c r="AL278" s="109">
        <f t="shared" si="50"/>
        <v>0</v>
      </c>
      <c r="AM278" s="109">
        <f t="shared" si="50"/>
        <v>0</v>
      </c>
    </row>
    <row r="279" spans="1:39" s="109" customFormat="1" ht="13.5" x14ac:dyDescent="0.25">
      <c r="A279" s="121">
        <v>76</v>
      </c>
      <c r="B279" s="122" t="s">
        <v>159</v>
      </c>
      <c r="C279" s="122">
        <v>30</v>
      </c>
      <c r="D279" s="122">
        <v>6</v>
      </c>
      <c r="E279" s="123"/>
      <c r="F279" s="123">
        <v>645</v>
      </c>
      <c r="G279" s="123">
        <v>118</v>
      </c>
      <c r="H279" s="118">
        <v>109</v>
      </c>
      <c r="I279" s="118">
        <v>171</v>
      </c>
      <c r="J279" s="118">
        <v>247</v>
      </c>
      <c r="K279" s="123">
        <f t="shared" si="47"/>
        <v>118</v>
      </c>
      <c r="L279" s="124">
        <f t="shared" si="48"/>
        <v>54.5</v>
      </c>
      <c r="M279" s="124">
        <f t="shared" si="48"/>
        <v>85.5</v>
      </c>
      <c r="N279" s="124">
        <f t="shared" si="48"/>
        <v>123.5</v>
      </c>
      <c r="O279" s="124">
        <f t="shared" si="44"/>
        <v>381.5</v>
      </c>
      <c r="P279" s="124">
        <f t="shared" si="46"/>
        <v>54.5</v>
      </c>
      <c r="Q279" s="124">
        <f t="shared" si="46"/>
        <v>85.5</v>
      </c>
      <c r="R279" s="124">
        <f t="shared" si="46"/>
        <v>123.5</v>
      </c>
      <c r="S279" s="118">
        <f t="shared" si="49"/>
        <v>263.5</v>
      </c>
      <c r="T279" s="123"/>
      <c r="U279" s="123"/>
      <c r="V279" s="118">
        <v>0</v>
      </c>
      <c r="W279" s="123" t="e">
        <f>'[1]убор.пл. ф-8 сост. 01.01.11 г.'!S296+'[1]убор.пл. ф-8 сост. 01.01.11 г.'!W296+'[1]убор.пл. ф-8 сост. 01.01.11 г.'!AC296+'[1]убор.пл. ф-8 сост. 01.01.11 г.'!AD296</f>
        <v>#REF!</v>
      </c>
      <c r="X279" s="123"/>
      <c r="Y279" s="123">
        <v>1856</v>
      </c>
      <c r="Z279" s="118">
        <v>0</v>
      </c>
      <c r="AA279" s="123"/>
      <c r="AB279" s="118">
        <v>2501</v>
      </c>
      <c r="AC279" s="117"/>
      <c r="AD279" s="118">
        <f t="shared" si="41"/>
        <v>381.5</v>
      </c>
      <c r="AE279" s="118"/>
      <c r="AF279" s="118" t="e">
        <f>#REF!-AE279</f>
        <v>#REF!</v>
      </c>
      <c r="AG279" s="128">
        <v>42</v>
      </c>
      <c r="AH279" s="118" t="e">
        <f>#REF!-AG279</f>
        <v>#REF!</v>
      </c>
      <c r="AI279" s="118"/>
      <c r="AJ279" s="118"/>
      <c r="AK279" s="120" t="e">
        <f t="shared" si="45"/>
        <v>#REF!</v>
      </c>
      <c r="AL279" s="109">
        <f t="shared" si="50"/>
        <v>0</v>
      </c>
      <c r="AM279" s="109">
        <f t="shared" si="50"/>
        <v>0</v>
      </c>
    </row>
    <row r="280" spans="1:39" s="109" customFormat="1" ht="13.5" x14ac:dyDescent="0.25">
      <c r="A280" s="121">
        <v>77</v>
      </c>
      <c r="B280" s="122" t="s">
        <v>159</v>
      </c>
      <c r="C280" s="122">
        <v>30</v>
      </c>
      <c r="D280" s="122">
        <v>7</v>
      </c>
      <c r="E280" s="123">
        <f>270</f>
        <v>270</v>
      </c>
      <c r="F280" s="123">
        <f>1607+E280</f>
        <v>1877</v>
      </c>
      <c r="G280" s="123">
        <v>392</v>
      </c>
      <c r="H280" s="118">
        <v>71</v>
      </c>
      <c r="I280" s="118">
        <v>861</v>
      </c>
      <c r="J280" s="118">
        <v>553</v>
      </c>
      <c r="K280" s="123">
        <f t="shared" si="47"/>
        <v>392</v>
      </c>
      <c r="L280" s="124">
        <f t="shared" si="48"/>
        <v>35.5</v>
      </c>
      <c r="M280" s="124">
        <f t="shared" si="48"/>
        <v>430.5</v>
      </c>
      <c r="N280" s="124">
        <f t="shared" si="48"/>
        <v>276.5</v>
      </c>
      <c r="O280" s="124">
        <f t="shared" si="44"/>
        <v>1134.5</v>
      </c>
      <c r="P280" s="124">
        <f t="shared" si="46"/>
        <v>35.5</v>
      </c>
      <c r="Q280" s="124">
        <f t="shared" si="46"/>
        <v>430.5</v>
      </c>
      <c r="R280" s="124">
        <f t="shared" si="46"/>
        <v>276.5</v>
      </c>
      <c r="S280" s="118">
        <f t="shared" si="49"/>
        <v>742.5</v>
      </c>
      <c r="T280" s="123"/>
      <c r="U280" s="123"/>
      <c r="V280" s="118">
        <v>0</v>
      </c>
      <c r="W280" s="123" t="e">
        <f>'[1]убор.пл. ф-8 сост. 01.01.11 г.'!S297+'[1]убор.пл. ф-8 сост. 01.01.11 г.'!W297+'[1]убор.пл. ф-8 сост. 01.01.11 г.'!AC297+'[1]убор.пл. ф-8 сост. 01.01.11 г.'!AD297</f>
        <v>#REF!</v>
      </c>
      <c r="X280" s="123"/>
      <c r="Y280" s="123">
        <f>3148-E280</f>
        <v>2878</v>
      </c>
      <c r="Z280" s="118">
        <v>0</v>
      </c>
      <c r="AA280" s="123">
        <v>18</v>
      </c>
      <c r="AB280" s="118">
        <v>4755</v>
      </c>
      <c r="AC280" s="117"/>
      <c r="AD280" s="118">
        <f t="shared" si="41"/>
        <v>1134.5</v>
      </c>
      <c r="AE280" s="118"/>
      <c r="AF280" s="118" t="e">
        <f>#REF!-AE280</f>
        <v>#REF!</v>
      </c>
      <c r="AG280" s="128">
        <v>42</v>
      </c>
      <c r="AH280" s="118" t="e">
        <f>#REF!-AG280</f>
        <v>#REF!</v>
      </c>
      <c r="AI280" s="118">
        <v>18</v>
      </c>
      <c r="AJ280" s="128"/>
      <c r="AK280" s="120" t="e">
        <f t="shared" si="45"/>
        <v>#REF!</v>
      </c>
      <c r="AL280" s="109">
        <f t="shared" si="50"/>
        <v>0</v>
      </c>
      <c r="AM280" s="109">
        <f t="shared" si="50"/>
        <v>0</v>
      </c>
    </row>
    <row r="281" spans="1:39" s="109" customFormat="1" ht="13.5" x14ac:dyDescent="0.25">
      <c r="A281" s="121">
        <v>78</v>
      </c>
      <c r="B281" s="122" t="s">
        <v>159</v>
      </c>
      <c r="C281" s="122">
        <v>30</v>
      </c>
      <c r="D281" s="122">
        <v>8</v>
      </c>
      <c r="E281" s="123"/>
      <c r="F281" s="123">
        <v>1123</v>
      </c>
      <c r="G281" s="123">
        <v>216</v>
      </c>
      <c r="H281" s="118">
        <v>93</v>
      </c>
      <c r="I281" s="118">
        <v>548</v>
      </c>
      <c r="J281" s="118">
        <v>266</v>
      </c>
      <c r="K281" s="123">
        <f t="shared" si="47"/>
        <v>216</v>
      </c>
      <c r="L281" s="124">
        <f t="shared" si="48"/>
        <v>46.5</v>
      </c>
      <c r="M281" s="124">
        <f t="shared" si="48"/>
        <v>274</v>
      </c>
      <c r="N281" s="124">
        <f t="shared" si="48"/>
        <v>133</v>
      </c>
      <c r="O281" s="124">
        <f t="shared" si="44"/>
        <v>669.5</v>
      </c>
      <c r="P281" s="124">
        <f t="shared" si="46"/>
        <v>46.5</v>
      </c>
      <c r="Q281" s="124">
        <f t="shared" si="46"/>
        <v>274</v>
      </c>
      <c r="R281" s="124">
        <f t="shared" si="46"/>
        <v>133</v>
      </c>
      <c r="S281" s="118">
        <f t="shared" si="49"/>
        <v>453.5</v>
      </c>
      <c r="T281" s="123"/>
      <c r="U281" s="123"/>
      <c r="V281" s="118">
        <v>0</v>
      </c>
      <c r="W281" s="123" t="e">
        <f>'[1]убор.пл. ф-8 сост. 01.01.11 г.'!S298+'[1]убор.пл. ф-8 сост. 01.01.11 г.'!W298+'[1]убор.пл. ф-8 сост. 01.01.11 г.'!AC298+'[1]убор.пл. ф-8 сост. 01.01.11 г.'!AD298</f>
        <v>#REF!</v>
      </c>
      <c r="X281" s="123">
        <v>297</v>
      </c>
      <c r="Y281" s="123">
        <v>3353</v>
      </c>
      <c r="Z281" s="118">
        <v>0</v>
      </c>
      <c r="AA281" s="123">
        <v>5</v>
      </c>
      <c r="AB281" s="118">
        <v>4476</v>
      </c>
      <c r="AC281" s="117"/>
      <c r="AD281" s="118">
        <f t="shared" si="41"/>
        <v>669.5</v>
      </c>
      <c r="AE281" s="118"/>
      <c r="AF281" s="118" t="e">
        <f>#REF!-AE281</f>
        <v>#REF!</v>
      </c>
      <c r="AG281" s="128">
        <v>90</v>
      </c>
      <c r="AH281" s="118" t="e">
        <f>#REF!-AG281</f>
        <v>#REF!</v>
      </c>
      <c r="AI281" s="118">
        <v>5</v>
      </c>
      <c r="AJ281" s="128"/>
      <c r="AK281" s="120" t="e">
        <f t="shared" si="45"/>
        <v>#REF!</v>
      </c>
      <c r="AL281" s="109">
        <f t="shared" si="50"/>
        <v>0</v>
      </c>
      <c r="AM281" s="109">
        <f t="shared" si="50"/>
        <v>0</v>
      </c>
    </row>
    <row r="282" spans="1:39" s="109" customFormat="1" ht="13.5" x14ac:dyDescent="0.25">
      <c r="A282" s="121">
        <v>79</v>
      </c>
      <c r="B282" s="122" t="s">
        <v>160</v>
      </c>
      <c r="C282" s="122">
        <v>1</v>
      </c>
      <c r="D282" s="203"/>
      <c r="E282" s="123">
        <f>102.6+251.87</f>
        <v>354.47</v>
      </c>
      <c r="F282" s="123">
        <f>3536+E282</f>
        <v>3890.4700000000003</v>
      </c>
      <c r="G282" s="123">
        <v>872.47</v>
      </c>
      <c r="H282" s="118">
        <v>590</v>
      </c>
      <c r="I282" s="118">
        <v>1732</v>
      </c>
      <c r="J282" s="118">
        <v>696</v>
      </c>
      <c r="K282" s="123">
        <f t="shared" si="47"/>
        <v>872.47</v>
      </c>
      <c r="L282" s="124">
        <f t="shared" si="48"/>
        <v>295</v>
      </c>
      <c r="M282" s="124">
        <f t="shared" si="48"/>
        <v>866</v>
      </c>
      <c r="N282" s="124">
        <f t="shared" si="48"/>
        <v>348</v>
      </c>
      <c r="O282" s="124">
        <f t="shared" si="44"/>
        <v>2381.4700000000003</v>
      </c>
      <c r="P282" s="124">
        <f t="shared" si="46"/>
        <v>295</v>
      </c>
      <c r="Q282" s="124">
        <f t="shared" si="46"/>
        <v>866</v>
      </c>
      <c r="R282" s="124">
        <f t="shared" si="46"/>
        <v>348</v>
      </c>
      <c r="S282" s="118">
        <f t="shared" si="49"/>
        <v>1509</v>
      </c>
      <c r="T282" s="126"/>
      <c r="U282" s="123"/>
      <c r="V282" s="118">
        <v>533</v>
      </c>
      <c r="W282" s="123" t="e">
        <f>'[1]убор.пл. ф-8 сост. 01.01.11 г.'!S299+'[1]убор.пл. ф-8 сост. 01.01.11 г.'!W299+'[1]убор.пл. ф-8 сост. 01.01.11 г.'!AC299+'[1]убор.пл. ф-8 сост. 01.01.11 г.'!AD299</f>
        <v>#REF!</v>
      </c>
      <c r="X282" s="123"/>
      <c r="Y282" s="123">
        <f>3427-E282</f>
        <v>3072.5299999999997</v>
      </c>
      <c r="Z282" s="118">
        <v>0</v>
      </c>
      <c r="AA282" s="123">
        <v>7</v>
      </c>
      <c r="AB282" s="118">
        <v>7496</v>
      </c>
      <c r="AC282" s="117"/>
      <c r="AD282" s="118">
        <f t="shared" si="41"/>
        <v>2381.4700000000003</v>
      </c>
      <c r="AE282" s="118"/>
      <c r="AF282" s="118" t="e">
        <f>#REF!-AE282</f>
        <v>#REF!</v>
      </c>
      <c r="AG282" s="128">
        <v>156</v>
      </c>
      <c r="AH282" s="118" t="e">
        <f>#REF!-AG282</f>
        <v>#REF!</v>
      </c>
      <c r="AI282" s="118">
        <v>7</v>
      </c>
      <c r="AJ282" s="128"/>
      <c r="AK282" s="120" t="e">
        <f t="shared" si="45"/>
        <v>#REF!</v>
      </c>
      <c r="AL282" s="109">
        <f t="shared" si="50"/>
        <v>0</v>
      </c>
      <c r="AM282" s="109">
        <f t="shared" si="50"/>
        <v>0</v>
      </c>
    </row>
    <row r="283" spans="1:39" ht="13.5" x14ac:dyDescent="0.25">
      <c r="A283" s="121">
        <v>80</v>
      </c>
      <c r="B283" s="122" t="s">
        <v>161</v>
      </c>
      <c r="C283" s="122">
        <v>3</v>
      </c>
      <c r="D283" s="122">
        <v>1</v>
      </c>
      <c r="E283" s="204"/>
      <c r="F283" s="123">
        <v>1587</v>
      </c>
      <c r="G283" s="123">
        <v>988</v>
      </c>
      <c r="H283" s="118">
        <v>346</v>
      </c>
      <c r="I283" s="118">
        <v>127</v>
      </c>
      <c r="J283" s="118">
        <v>126</v>
      </c>
      <c r="K283" s="123">
        <f t="shared" si="47"/>
        <v>988</v>
      </c>
      <c r="L283" s="124">
        <f t="shared" si="48"/>
        <v>173</v>
      </c>
      <c r="M283" s="124">
        <f t="shared" si="48"/>
        <v>63.5</v>
      </c>
      <c r="N283" s="124">
        <f t="shared" si="48"/>
        <v>63</v>
      </c>
      <c r="O283" s="124">
        <f t="shared" si="44"/>
        <v>1287.5</v>
      </c>
      <c r="P283" s="124">
        <f t="shared" si="46"/>
        <v>173</v>
      </c>
      <c r="Q283" s="124">
        <f t="shared" si="46"/>
        <v>63.5</v>
      </c>
      <c r="R283" s="124">
        <f t="shared" si="46"/>
        <v>63</v>
      </c>
      <c r="S283" s="118">
        <f t="shared" si="49"/>
        <v>299.5</v>
      </c>
      <c r="T283" s="204"/>
      <c r="U283" s="204"/>
      <c r="V283" s="118">
        <v>48</v>
      </c>
      <c r="W283" s="123" t="e">
        <f>'[1]убор.пл. ф-8 сост. 01.01.11 г.'!S300+'[1]убор.пл. ф-8 сост. 01.01.11 г.'!W300+'[1]убор.пл. ф-8 сост. 01.01.11 г.'!AC300+'[1]убор.пл. ф-8 сост. 01.01.11 г.'!AD300</f>
        <v>#REF!</v>
      </c>
      <c r="X283" s="123"/>
      <c r="Y283" s="123">
        <v>2204</v>
      </c>
      <c r="Z283" s="118">
        <v>4557</v>
      </c>
      <c r="AA283" s="123"/>
      <c r="AB283" s="118">
        <v>8396</v>
      </c>
      <c r="AC283" s="205"/>
      <c r="AD283" s="206">
        <f t="shared" si="41"/>
        <v>1287.5</v>
      </c>
      <c r="AE283" s="206"/>
      <c r="AF283" s="206" t="e">
        <f>#REF!-AE283</f>
        <v>#REF!</v>
      </c>
      <c r="AG283" s="207">
        <v>300</v>
      </c>
      <c r="AH283" s="206" t="e">
        <f>#REF!-AG283</f>
        <v>#REF!</v>
      </c>
      <c r="AI283" s="206"/>
      <c r="AJ283" s="206"/>
      <c r="AK283" s="208" t="e">
        <f t="shared" si="45"/>
        <v>#REF!</v>
      </c>
      <c r="AL283" s="109">
        <f t="shared" si="50"/>
        <v>0</v>
      </c>
      <c r="AM283" s="109">
        <f t="shared" si="50"/>
        <v>0</v>
      </c>
    </row>
    <row r="284" spans="1:39" s="109" customFormat="1" ht="13.5" x14ac:dyDescent="0.25">
      <c r="A284" s="121">
        <v>81</v>
      </c>
      <c r="B284" s="122" t="s">
        <v>161</v>
      </c>
      <c r="C284" s="122">
        <v>3</v>
      </c>
      <c r="D284" s="122">
        <v>2</v>
      </c>
      <c r="E284" s="123"/>
      <c r="F284" s="123">
        <v>3222</v>
      </c>
      <c r="G284" s="123">
        <v>885</v>
      </c>
      <c r="H284" s="118">
        <v>335</v>
      </c>
      <c r="I284" s="118">
        <v>1231</v>
      </c>
      <c r="J284" s="118">
        <v>771</v>
      </c>
      <c r="K284" s="123">
        <f t="shared" si="47"/>
        <v>885</v>
      </c>
      <c r="L284" s="124">
        <f t="shared" si="48"/>
        <v>167.5</v>
      </c>
      <c r="M284" s="124">
        <f t="shared" si="48"/>
        <v>615.5</v>
      </c>
      <c r="N284" s="124">
        <f t="shared" si="48"/>
        <v>385.5</v>
      </c>
      <c r="O284" s="124">
        <f t="shared" si="44"/>
        <v>2053.5</v>
      </c>
      <c r="P284" s="124">
        <f t="shared" si="46"/>
        <v>167.5</v>
      </c>
      <c r="Q284" s="124">
        <f t="shared" si="46"/>
        <v>615.5</v>
      </c>
      <c r="R284" s="124">
        <f t="shared" si="46"/>
        <v>385.5</v>
      </c>
      <c r="S284" s="118">
        <f t="shared" si="49"/>
        <v>1168.5</v>
      </c>
      <c r="T284" s="123"/>
      <c r="U284" s="123"/>
      <c r="V284" s="118">
        <v>2570</v>
      </c>
      <c r="W284" s="123">
        <f>'[1]убор.пл. ф-8 сост. 01.01.11 г.'!S301+'[1]убор.пл. ф-8 сост. 01.01.11 г.'!W301+'[1]убор.пл. ф-8 сост. 01.01.11 г.'!AC301+'[1]убор.пл. ф-8 сост. 01.01.11 г.'!AD301</f>
        <v>5522</v>
      </c>
      <c r="X284" s="123"/>
      <c r="Y284" s="123">
        <v>2895</v>
      </c>
      <c r="Z284" s="118">
        <v>0</v>
      </c>
      <c r="AA284" s="123">
        <v>16</v>
      </c>
      <c r="AB284" s="118">
        <v>8687</v>
      </c>
      <c r="AC284" s="117"/>
      <c r="AD284" s="118">
        <f t="shared" si="41"/>
        <v>2053.5</v>
      </c>
      <c r="AE284" s="118"/>
      <c r="AF284" s="118" t="e">
        <f>#REF!-AE284</f>
        <v>#REF!</v>
      </c>
      <c r="AG284" s="118"/>
      <c r="AH284" s="118" t="e">
        <f>#REF!-AG284</f>
        <v>#REF!</v>
      </c>
      <c r="AI284" s="118">
        <v>16</v>
      </c>
      <c r="AJ284" s="128"/>
      <c r="AK284" s="120">
        <f t="shared" si="45"/>
        <v>8744</v>
      </c>
      <c r="AL284" s="109">
        <f t="shared" si="50"/>
        <v>0</v>
      </c>
      <c r="AM284" s="109">
        <f t="shared" si="50"/>
        <v>0</v>
      </c>
    </row>
    <row r="285" spans="1:39" ht="14.25" thickBot="1" x14ac:dyDescent="0.3">
      <c r="A285" s="129">
        <v>82</v>
      </c>
      <c r="B285" s="130" t="s">
        <v>161</v>
      </c>
      <c r="C285" s="130">
        <v>7</v>
      </c>
      <c r="D285" s="130">
        <v>1</v>
      </c>
      <c r="E285" s="209"/>
      <c r="F285" s="131">
        <v>3026</v>
      </c>
      <c r="G285" s="131">
        <v>1305</v>
      </c>
      <c r="H285" s="98">
        <v>644</v>
      </c>
      <c r="I285" s="98">
        <v>648</v>
      </c>
      <c r="J285" s="98">
        <v>429</v>
      </c>
      <c r="K285" s="123">
        <f t="shared" si="47"/>
        <v>1305</v>
      </c>
      <c r="L285" s="124">
        <f t="shared" si="48"/>
        <v>322</v>
      </c>
      <c r="M285" s="124">
        <f t="shared" si="48"/>
        <v>324</v>
      </c>
      <c r="N285" s="124">
        <f t="shared" si="48"/>
        <v>214.5</v>
      </c>
      <c r="O285" s="124">
        <f t="shared" si="44"/>
        <v>2165.5</v>
      </c>
      <c r="P285" s="124">
        <f t="shared" si="46"/>
        <v>322</v>
      </c>
      <c r="Q285" s="124">
        <f t="shared" si="46"/>
        <v>324</v>
      </c>
      <c r="R285" s="124">
        <f t="shared" si="46"/>
        <v>214.5</v>
      </c>
      <c r="S285" s="118">
        <f t="shared" si="49"/>
        <v>860.5</v>
      </c>
      <c r="T285" s="210"/>
      <c r="U285" s="209"/>
      <c r="V285" s="98">
        <v>1397</v>
      </c>
      <c r="W285" s="131">
        <f>'[1]убор.пл. ф-8 сост. 01.01.11 г.'!S302+'[1]убор.пл. ф-8 сост. 01.01.11 г.'!W302+'[1]убор.пл. ф-8 сост. 01.01.11 г.'!AC302+'[1]убор.пл. ф-8 сост. 01.01.11 г.'!AD302</f>
        <v>348331</v>
      </c>
      <c r="X285" s="131">
        <v>3050</v>
      </c>
      <c r="Y285" s="131">
        <v>7166</v>
      </c>
      <c r="Z285" s="98">
        <v>0</v>
      </c>
      <c r="AA285" s="131">
        <v>20</v>
      </c>
      <c r="AB285" s="98">
        <v>11589</v>
      </c>
      <c r="AC285" s="205"/>
      <c r="AD285" s="206">
        <f>O285-AC285</f>
        <v>2165.5</v>
      </c>
      <c r="AE285" s="206"/>
      <c r="AF285" s="206" t="e">
        <f>#REF!-AE285</f>
        <v>#REF!</v>
      </c>
      <c r="AG285" s="207">
        <v>144</v>
      </c>
      <c r="AH285" s="206" t="e">
        <f>#REF!-AG285</f>
        <v>#REF!</v>
      </c>
      <c r="AI285" s="206">
        <v>20</v>
      </c>
      <c r="AJ285" s="207"/>
      <c r="AK285" s="208">
        <f t="shared" si="45"/>
        <v>351357</v>
      </c>
      <c r="AL285" s="109">
        <f t="shared" si="50"/>
        <v>0</v>
      </c>
      <c r="AM285" s="109">
        <f t="shared" si="50"/>
        <v>0</v>
      </c>
    </row>
    <row r="286" spans="1:39" s="219" customFormat="1" ht="14.25" thickBot="1" x14ac:dyDescent="0.3">
      <c r="A286" s="211"/>
      <c r="B286" s="136" t="s">
        <v>162</v>
      </c>
      <c r="C286" s="136"/>
      <c r="D286" s="136"/>
      <c r="E286" s="212">
        <f>SUM(E204:E285)</f>
        <v>9248.66</v>
      </c>
      <c r="F286" s="213">
        <f>SUM(F204:F285)</f>
        <v>125878.66</v>
      </c>
      <c r="G286" s="213">
        <f t="shared" ref="G286:AI286" si="51">SUM(G204:G285)</f>
        <v>38900.659999999989</v>
      </c>
      <c r="H286" s="185">
        <f t="shared" si="51"/>
        <v>16522</v>
      </c>
      <c r="I286" s="185">
        <f t="shared" si="51"/>
        <v>30365</v>
      </c>
      <c r="J286" s="185">
        <f t="shared" si="51"/>
        <v>40091</v>
      </c>
      <c r="K286" s="213">
        <f t="shared" si="51"/>
        <v>38900.659999999989</v>
      </c>
      <c r="L286" s="213">
        <f t="shared" si="51"/>
        <v>8261.5</v>
      </c>
      <c r="M286" s="213">
        <f>SUM(M204:M285)</f>
        <v>15183</v>
      </c>
      <c r="N286" s="214">
        <f>SUM(N204:N285)</f>
        <v>20045.5</v>
      </c>
      <c r="O286" s="213">
        <f>SUM(O204:O285)</f>
        <v>82390.66</v>
      </c>
      <c r="P286" s="213">
        <f t="shared" si="51"/>
        <v>8261.5</v>
      </c>
      <c r="Q286" s="185">
        <f>SUM(Q204:Q285)</f>
        <v>15183</v>
      </c>
      <c r="R286" s="214">
        <f t="shared" si="51"/>
        <v>20045.5</v>
      </c>
      <c r="S286" s="185">
        <f t="shared" si="51"/>
        <v>43490</v>
      </c>
      <c r="T286" s="213">
        <f t="shared" si="51"/>
        <v>0</v>
      </c>
      <c r="U286" s="213">
        <f t="shared" si="51"/>
        <v>0</v>
      </c>
      <c r="V286" s="185">
        <f t="shared" si="51"/>
        <v>14983</v>
      </c>
      <c r="W286" s="213" t="e">
        <f t="shared" si="51"/>
        <v>#REF!</v>
      </c>
      <c r="X286" s="213">
        <f t="shared" si="51"/>
        <v>5522</v>
      </c>
      <c r="Y286" s="213">
        <f>SUM(Y204:Y285)</f>
        <v>334753.34000000003</v>
      </c>
      <c r="Z286" s="185">
        <f t="shared" si="51"/>
        <v>17198</v>
      </c>
      <c r="AA286" s="213">
        <f t="shared" si="51"/>
        <v>469</v>
      </c>
      <c r="AB286" s="185">
        <f t="shared" si="51"/>
        <v>492813</v>
      </c>
      <c r="AC286" s="215">
        <f t="shared" si="51"/>
        <v>60</v>
      </c>
      <c r="AD286" s="216" t="e">
        <f t="shared" si="51"/>
        <v>#REF!</v>
      </c>
      <c r="AE286" s="216">
        <f t="shared" si="51"/>
        <v>18</v>
      </c>
      <c r="AF286" s="216" t="e">
        <f t="shared" si="51"/>
        <v>#REF!</v>
      </c>
      <c r="AG286" s="216">
        <f t="shared" si="51"/>
        <v>2359</v>
      </c>
      <c r="AH286" s="217" t="e">
        <f t="shared" si="51"/>
        <v>#REF!</v>
      </c>
      <c r="AI286" s="216">
        <f t="shared" si="51"/>
        <v>469</v>
      </c>
      <c r="AJ286" s="216"/>
      <c r="AK286" s="208" t="e">
        <f t="shared" si="45"/>
        <v>#REF!</v>
      </c>
      <c r="AL286" s="218">
        <f>F286+V286+Y286+Z286</f>
        <v>492813</v>
      </c>
    </row>
    <row r="287" spans="1:39" s="219" customFormat="1" ht="14.25" thickBot="1" x14ac:dyDescent="0.3">
      <c r="A287" s="211"/>
      <c r="B287" s="691" t="s">
        <v>130</v>
      </c>
      <c r="C287" s="691"/>
      <c r="D287" s="691"/>
      <c r="E287" s="220"/>
      <c r="F287" s="139"/>
      <c r="G287" s="220"/>
      <c r="H287" s="221"/>
      <c r="I287" s="221"/>
      <c r="J287" s="221"/>
      <c r="K287" s="220"/>
      <c r="L287" s="222"/>
      <c r="M287" s="222"/>
      <c r="N287" s="222"/>
      <c r="O287" s="222"/>
      <c r="P287" s="222"/>
      <c r="Q287" s="222"/>
      <c r="R287" s="222"/>
      <c r="S287" s="221"/>
      <c r="T287" s="220"/>
      <c r="U287" s="220"/>
      <c r="V287" s="221"/>
      <c r="W287" s="220"/>
      <c r="X287" s="220"/>
      <c r="Y287" s="220"/>
      <c r="Z287" s="221"/>
      <c r="AA287" s="220"/>
      <c r="AB287" s="223"/>
      <c r="AC287" s="224"/>
      <c r="AD287" s="224"/>
      <c r="AE287" s="224"/>
      <c r="AF287" s="224"/>
      <c r="AG287" s="224"/>
      <c r="AH287" s="224"/>
      <c r="AI287" s="224"/>
      <c r="AJ287" s="224"/>
      <c r="AK287" s="208"/>
    </row>
    <row r="288" spans="1:39" s="219" customFormat="1" ht="13.5" x14ac:dyDescent="0.25">
      <c r="A288" s="225">
        <v>1</v>
      </c>
      <c r="B288" s="692" t="s">
        <v>152</v>
      </c>
      <c r="C288" s="692"/>
      <c r="D288" s="692"/>
      <c r="E288" s="226"/>
      <c r="F288" s="190"/>
      <c r="G288" s="190"/>
      <c r="H288" s="191"/>
      <c r="I288" s="191"/>
      <c r="J288" s="191"/>
      <c r="K288" s="226"/>
      <c r="L288" s="227"/>
      <c r="M288" s="227"/>
      <c r="N288" s="227"/>
      <c r="O288" s="227"/>
      <c r="P288" s="192"/>
      <c r="Q288" s="192"/>
      <c r="R288" s="192"/>
      <c r="S288" s="191"/>
      <c r="T288" s="226"/>
      <c r="U288" s="226"/>
      <c r="V288" s="191"/>
      <c r="W288" s="190"/>
      <c r="X288" s="190"/>
      <c r="Y288" s="113">
        <v>6209</v>
      </c>
      <c r="Z288" s="191"/>
      <c r="AA288" s="190"/>
      <c r="AB288" s="193"/>
      <c r="AC288" s="224"/>
      <c r="AD288" s="224"/>
      <c r="AE288" s="224"/>
      <c r="AF288" s="224"/>
      <c r="AG288" s="224"/>
      <c r="AH288" s="224"/>
      <c r="AI288" s="224"/>
      <c r="AJ288" s="224"/>
      <c r="AK288" s="208"/>
    </row>
    <row r="289" spans="1:39" s="219" customFormat="1" ht="13.5" x14ac:dyDescent="0.25">
      <c r="A289" s="228">
        <v>2</v>
      </c>
      <c r="B289" s="693" t="s">
        <v>163</v>
      </c>
      <c r="C289" s="693"/>
      <c r="D289" s="693"/>
      <c r="E289" s="229"/>
      <c r="F289" s="194"/>
      <c r="G289" s="194"/>
      <c r="H289" s="144"/>
      <c r="I289" s="144"/>
      <c r="J289" s="144"/>
      <c r="K289" s="229"/>
      <c r="L289" s="230"/>
      <c r="M289" s="230"/>
      <c r="N289" s="230"/>
      <c r="O289" s="230"/>
      <c r="P289" s="195"/>
      <c r="Q289" s="195"/>
      <c r="R289" s="195"/>
      <c r="S289" s="144"/>
      <c r="T289" s="229"/>
      <c r="U289" s="229"/>
      <c r="V289" s="144"/>
      <c r="W289" s="194"/>
      <c r="X289" s="194"/>
      <c r="Y289" s="123">
        <v>8071</v>
      </c>
      <c r="Z289" s="144"/>
      <c r="AA289" s="194"/>
      <c r="AB289" s="196"/>
      <c r="AC289" s="224"/>
      <c r="AD289" s="224"/>
      <c r="AE289" s="224"/>
      <c r="AF289" s="224"/>
      <c r="AG289" s="224"/>
      <c r="AH289" s="224"/>
      <c r="AI289" s="224"/>
      <c r="AJ289" s="224"/>
      <c r="AK289" s="208"/>
    </row>
    <row r="290" spans="1:39" s="219" customFormat="1" ht="13.5" x14ac:dyDescent="0.25">
      <c r="A290" s="228">
        <v>3</v>
      </c>
      <c r="B290" s="575" t="s">
        <v>164</v>
      </c>
      <c r="C290" s="575"/>
      <c r="D290" s="575"/>
      <c r="E290" s="229"/>
      <c r="F290" s="194"/>
      <c r="G290" s="194"/>
      <c r="H290" s="144"/>
      <c r="I290" s="144"/>
      <c r="J290" s="144"/>
      <c r="K290" s="229"/>
      <c r="L290" s="230"/>
      <c r="M290" s="230"/>
      <c r="N290" s="230"/>
      <c r="O290" s="230"/>
      <c r="P290" s="195"/>
      <c r="Q290" s="195"/>
      <c r="R290" s="195"/>
      <c r="S290" s="144"/>
      <c r="T290" s="229"/>
      <c r="U290" s="229"/>
      <c r="V290" s="144"/>
      <c r="W290" s="194"/>
      <c r="X290" s="194"/>
      <c r="Y290" s="123">
        <v>8057</v>
      </c>
      <c r="Z290" s="144"/>
      <c r="AA290" s="194"/>
      <c r="AB290" s="196"/>
      <c r="AC290" s="224"/>
      <c r="AD290" s="224"/>
      <c r="AE290" s="224"/>
      <c r="AF290" s="224"/>
      <c r="AG290" s="224"/>
      <c r="AH290" s="224"/>
      <c r="AI290" s="224"/>
      <c r="AJ290" s="224"/>
      <c r="AK290" s="208"/>
    </row>
    <row r="291" spans="1:39" s="219" customFormat="1" ht="14.25" thickBot="1" x14ac:dyDescent="0.3">
      <c r="A291" s="231">
        <v>4</v>
      </c>
      <c r="B291" s="684" t="s">
        <v>165</v>
      </c>
      <c r="C291" s="684"/>
      <c r="D291" s="684"/>
      <c r="E291" s="232"/>
      <c r="F291" s="197"/>
      <c r="G291" s="197"/>
      <c r="H291" s="198"/>
      <c r="I291" s="198"/>
      <c r="J291" s="198"/>
      <c r="K291" s="232"/>
      <c r="L291" s="233"/>
      <c r="M291" s="233"/>
      <c r="N291" s="233"/>
      <c r="O291" s="233"/>
      <c r="P291" s="199"/>
      <c r="Q291" s="199"/>
      <c r="R291" s="199"/>
      <c r="S291" s="198"/>
      <c r="T291" s="232"/>
      <c r="U291" s="232"/>
      <c r="V291" s="198"/>
      <c r="W291" s="197"/>
      <c r="X291" s="197"/>
      <c r="Y291" s="131">
        <v>9135</v>
      </c>
      <c r="Z291" s="198"/>
      <c r="AA291" s="197"/>
      <c r="AB291" s="200"/>
      <c r="AC291" s="224"/>
      <c r="AD291" s="224"/>
      <c r="AE291" s="224"/>
      <c r="AF291" s="224"/>
      <c r="AG291" s="224"/>
      <c r="AH291" s="224"/>
      <c r="AI291" s="224"/>
      <c r="AJ291" s="224"/>
      <c r="AK291" s="208"/>
    </row>
    <row r="292" spans="1:39" s="147" customFormat="1" ht="14.25" thickBot="1" x14ac:dyDescent="0.3">
      <c r="A292" s="135"/>
      <c r="B292" s="675" t="s">
        <v>132</v>
      </c>
      <c r="C292" s="676"/>
      <c r="D292" s="677"/>
      <c r="E292" s="139"/>
      <c r="F292" s="139"/>
      <c r="G292" s="139"/>
      <c r="H292" s="140"/>
      <c r="I292" s="140"/>
      <c r="J292" s="140"/>
      <c r="K292" s="139"/>
      <c r="L292" s="141"/>
      <c r="M292" s="141"/>
      <c r="N292" s="141"/>
      <c r="O292" s="141"/>
      <c r="P292" s="141"/>
      <c r="Q292" s="141"/>
      <c r="R292" s="141"/>
      <c r="S292" s="140"/>
      <c r="T292" s="139"/>
      <c r="U292" s="139"/>
      <c r="V292" s="140">
        <f>SUM(V288:V291)</f>
        <v>0</v>
      </c>
      <c r="W292" s="140">
        <f>SUM(W288:W291)</f>
        <v>0</v>
      </c>
      <c r="X292" s="140">
        <f>SUM(X288:X291)</f>
        <v>0</v>
      </c>
      <c r="Y292" s="140">
        <f>SUM(Y288:Y291)</f>
        <v>31472</v>
      </c>
      <c r="Z292" s="140"/>
      <c r="AA292" s="139"/>
      <c r="AB292" s="142">
        <v>31472</v>
      </c>
      <c r="AC292" s="143"/>
      <c r="AD292" s="144"/>
      <c r="AE292" s="144"/>
      <c r="AF292" s="144"/>
      <c r="AG292" s="144"/>
      <c r="AH292" s="144"/>
      <c r="AI292" s="145"/>
      <c r="AJ292" s="145"/>
      <c r="AK292" s="120"/>
    </row>
    <row r="293" spans="1:39" s="219" customFormat="1" ht="14.25" thickBot="1" x14ac:dyDescent="0.3">
      <c r="A293" s="685" t="s">
        <v>124</v>
      </c>
      <c r="B293" s="686"/>
      <c r="C293" s="686"/>
      <c r="D293" s="686"/>
      <c r="E293" s="234"/>
      <c r="F293" s="139">
        <f>G293+I293+H293</f>
        <v>454</v>
      </c>
      <c r="G293" s="139">
        <v>87</v>
      </c>
      <c r="H293" s="140">
        <v>83</v>
      </c>
      <c r="I293" s="140">
        <f>284</f>
        <v>284</v>
      </c>
      <c r="J293" s="140"/>
      <c r="K293" s="220">
        <f>G293</f>
        <v>87</v>
      </c>
      <c r="L293" s="222">
        <f>H293/2</f>
        <v>41.5</v>
      </c>
      <c r="M293" s="222">
        <f>I293/2</f>
        <v>142</v>
      </c>
      <c r="N293" s="222"/>
      <c r="O293" s="222">
        <f>K293+L293+M293</f>
        <v>270.5</v>
      </c>
      <c r="P293" s="141">
        <f>H293/2</f>
        <v>41.5</v>
      </c>
      <c r="Q293" s="141">
        <f>I293/2</f>
        <v>142</v>
      </c>
      <c r="R293" s="141"/>
      <c r="S293" s="140">
        <f>P293+Q293</f>
        <v>183.5</v>
      </c>
      <c r="T293" s="220"/>
      <c r="U293" s="220"/>
      <c r="V293" s="140">
        <f>1322+6</f>
        <v>1328</v>
      </c>
      <c r="W293" s="139"/>
      <c r="X293" s="139"/>
      <c r="Y293" s="139">
        <f>1819+426</f>
        <v>2245</v>
      </c>
      <c r="Z293" s="140">
        <v>17198</v>
      </c>
      <c r="AA293" s="139"/>
      <c r="AB293" s="142">
        <f>F293+V293+Y293+Z293</f>
        <v>21225</v>
      </c>
      <c r="AC293" s="224"/>
      <c r="AD293" s="224"/>
      <c r="AE293" s="224"/>
      <c r="AF293" s="224"/>
      <c r="AG293" s="224"/>
      <c r="AH293" s="224"/>
      <c r="AI293" s="224"/>
      <c r="AJ293" s="224"/>
      <c r="AK293" s="208"/>
      <c r="AM293" s="219">
        <f>AB286+AB292-AB293</f>
        <v>503060</v>
      </c>
    </row>
    <row r="294" spans="1:39" s="219" customFormat="1" ht="14.25" thickBot="1" x14ac:dyDescent="0.3">
      <c r="A294" s="679" t="s">
        <v>156</v>
      </c>
      <c r="B294" s="680"/>
      <c r="C294" s="680"/>
      <c r="D294" s="680"/>
      <c r="E294" s="220">
        <f>E286-E293</f>
        <v>9248.66</v>
      </c>
      <c r="F294" s="220">
        <f>F286-F293+F292</f>
        <v>125424.66</v>
      </c>
      <c r="G294" s="220">
        <f t="shared" ref="G294:AA294" si="52">G286-G293+G292</f>
        <v>38813.659999999989</v>
      </c>
      <c r="H294" s="221">
        <f t="shared" si="52"/>
        <v>16439</v>
      </c>
      <c r="I294" s="221">
        <f t="shared" si="52"/>
        <v>30081</v>
      </c>
      <c r="J294" s="221">
        <f t="shared" si="52"/>
        <v>40091</v>
      </c>
      <c r="K294" s="220">
        <f t="shared" si="52"/>
        <v>38813.659999999989</v>
      </c>
      <c r="L294" s="220">
        <f t="shared" si="52"/>
        <v>8220</v>
      </c>
      <c r="M294" s="220">
        <f t="shared" si="52"/>
        <v>15041</v>
      </c>
      <c r="N294" s="222">
        <f t="shared" si="52"/>
        <v>20045.5</v>
      </c>
      <c r="O294" s="220">
        <f t="shared" si="52"/>
        <v>82120.160000000003</v>
      </c>
      <c r="P294" s="220">
        <f t="shared" si="52"/>
        <v>8220</v>
      </c>
      <c r="Q294" s="221">
        <f t="shared" si="52"/>
        <v>15041</v>
      </c>
      <c r="R294" s="222">
        <f t="shared" si="52"/>
        <v>20045.5</v>
      </c>
      <c r="S294" s="221">
        <f t="shared" si="52"/>
        <v>43306.5</v>
      </c>
      <c r="T294" s="220">
        <f t="shared" si="52"/>
        <v>0</v>
      </c>
      <c r="U294" s="220">
        <f t="shared" si="52"/>
        <v>0</v>
      </c>
      <c r="V294" s="221">
        <f t="shared" si="52"/>
        <v>13655</v>
      </c>
      <c r="W294" s="220" t="e">
        <f t="shared" si="52"/>
        <v>#REF!</v>
      </c>
      <c r="X294" s="220">
        <f t="shared" si="52"/>
        <v>5522</v>
      </c>
      <c r="Y294" s="220">
        <f t="shared" si="52"/>
        <v>363980.34</v>
      </c>
      <c r="Z294" s="220">
        <f t="shared" si="52"/>
        <v>0</v>
      </c>
      <c r="AA294" s="220">
        <f t="shared" si="52"/>
        <v>469</v>
      </c>
      <c r="AB294" s="221">
        <f>AB286-AB293+AB292</f>
        <v>503060</v>
      </c>
      <c r="AC294" s="224"/>
      <c r="AD294" s="224"/>
      <c r="AE294" s="224"/>
      <c r="AF294" s="224"/>
      <c r="AG294" s="224"/>
      <c r="AH294" s="224"/>
      <c r="AI294" s="224"/>
      <c r="AJ294" s="224"/>
      <c r="AK294" s="208"/>
    </row>
    <row r="295" spans="1:39" s="219" customFormat="1" ht="13.5" x14ac:dyDescent="0.25">
      <c r="A295" s="86"/>
      <c r="B295" s="176"/>
      <c r="C295" s="176"/>
      <c r="D295" s="176"/>
      <c r="E295" s="85"/>
      <c r="F295" s="85"/>
      <c r="G295" s="85"/>
      <c r="H295" s="224"/>
      <c r="I295" s="224"/>
      <c r="J295" s="224"/>
      <c r="K295" s="85"/>
      <c r="L295" s="85"/>
      <c r="M295" s="85"/>
      <c r="N295" s="85"/>
      <c r="O295" s="85"/>
      <c r="P295" s="85"/>
      <c r="Q295" s="87"/>
      <c r="R295" s="87"/>
      <c r="S295" s="224"/>
      <c r="T295" s="85"/>
      <c r="U295" s="85"/>
      <c r="V295" s="224"/>
      <c r="W295" s="85"/>
      <c r="X295" s="85"/>
      <c r="Y295" s="85"/>
      <c r="Z295" s="85"/>
      <c r="AA295" s="85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08"/>
    </row>
    <row r="296" spans="1:39" ht="13.5" x14ac:dyDescent="0.25">
      <c r="A296" s="235"/>
      <c r="B296" s="157" t="s">
        <v>166</v>
      </c>
      <c r="C296" s="157"/>
      <c r="D296" s="157"/>
      <c r="E296" s="77"/>
      <c r="F296" s="83"/>
      <c r="G296" s="83"/>
      <c r="H296" s="76"/>
      <c r="I296" s="76"/>
      <c r="J296" s="76"/>
      <c r="K296" s="77"/>
      <c r="L296" s="78"/>
      <c r="M296" s="78"/>
      <c r="N296" s="78"/>
      <c r="O296" s="78"/>
      <c r="P296" s="79"/>
      <c r="Q296" s="79"/>
      <c r="R296" s="79"/>
      <c r="S296" s="76"/>
      <c r="T296" s="77"/>
      <c r="U296" s="77"/>
      <c r="V296" s="76"/>
      <c r="W296" s="83"/>
      <c r="X296" s="83"/>
      <c r="Y296" s="83"/>
      <c r="Z296" s="76"/>
      <c r="AA296" s="83"/>
      <c r="AB296" s="76"/>
      <c r="AC296" s="80"/>
      <c r="AD296" s="80"/>
      <c r="AE296" s="80"/>
      <c r="AF296" s="80"/>
      <c r="AG296" s="80"/>
      <c r="AH296" s="80"/>
      <c r="AI296" s="80"/>
      <c r="AK296" s="208">
        <f t="shared" ref="AK296:AK341" si="53">O296+S296+T296+W296</f>
        <v>0</v>
      </c>
    </row>
    <row r="297" spans="1:39" s="109" customFormat="1" ht="13.5" x14ac:dyDescent="0.25">
      <c r="A297" s="181">
        <v>1</v>
      </c>
      <c r="B297" s="236" t="s">
        <v>167</v>
      </c>
      <c r="C297" s="236">
        <v>2</v>
      </c>
      <c r="D297" s="236">
        <v>1</v>
      </c>
      <c r="E297" s="123">
        <f>415.95</f>
        <v>415.95</v>
      </c>
      <c r="F297" s="123">
        <f>3445+E297</f>
        <v>3860.95</v>
      </c>
      <c r="G297" s="123">
        <v>1299.95</v>
      </c>
      <c r="H297" s="118">
        <v>935</v>
      </c>
      <c r="I297" s="118">
        <v>723</v>
      </c>
      <c r="J297" s="118">
        <v>903</v>
      </c>
      <c r="K297" s="123">
        <f t="shared" ref="K297:K343" si="54">G297</f>
        <v>1299.95</v>
      </c>
      <c r="L297" s="124">
        <f t="shared" ref="L297:N343" si="55">H297/2</f>
        <v>467.5</v>
      </c>
      <c r="M297" s="124">
        <f t="shared" si="55"/>
        <v>361.5</v>
      </c>
      <c r="N297" s="124">
        <f t="shared" si="55"/>
        <v>451.5</v>
      </c>
      <c r="O297" s="124">
        <f t="shared" ref="O297:O343" si="56">SUM(K297:N297)</f>
        <v>2580.4499999999998</v>
      </c>
      <c r="P297" s="124">
        <f t="shared" ref="P297:R343" si="57">H297/2</f>
        <v>467.5</v>
      </c>
      <c r="Q297" s="124">
        <f t="shared" si="57"/>
        <v>361.5</v>
      </c>
      <c r="R297" s="124">
        <f t="shared" si="57"/>
        <v>451.5</v>
      </c>
      <c r="S297" s="118">
        <f t="shared" ref="S297:S343" si="58">SUM(P297:R297)</f>
        <v>1280.5</v>
      </c>
      <c r="T297" s="123" t="e">
        <f>'[1]убор.пл. ф-8 сост. 01.01.11 г.'!O308+'[1]убор.пл. ф-8 сост. 01.01.11 г.'!P308+'[1]убор.пл. ф-8 сост. 01.01.11 г.'!Q308+'[1]убор.пл. ф-8 сост. 01.01.11 г.'!R308+'[1]убор.пл. ф-8 сост. 01.01.11 г.'!U308+'[1]убор.пл. ф-8 сост. 01.01.11 г.'!V308+'[1]убор.пл. ф-8 сост. 01.01.11 г.'!X308+'[1]убор.пл. ф-8 сост. 01.01.11 г.'!Z308+'[1]убор.пл. ф-8 сост. 01.01.11 г.'!AA308+'[1]убор.пл. ф-8 сост. 01.01.11 г.'!AB308</f>
        <v>#REF!</v>
      </c>
      <c r="U297" s="123"/>
      <c r="V297" s="118"/>
      <c r="W297" s="123">
        <f>6783</f>
        <v>6783</v>
      </c>
      <c r="X297" s="123"/>
      <c r="Y297" s="123">
        <f>6783-E297</f>
        <v>6367.05</v>
      </c>
      <c r="Z297" s="118"/>
      <c r="AA297" s="123">
        <v>15</v>
      </c>
      <c r="AB297" s="118">
        <v>10228</v>
      </c>
      <c r="AC297" s="118"/>
      <c r="AD297" s="118">
        <f t="shared" ref="AD297:AD340" si="59">O297-AC297</f>
        <v>2580.4499999999998</v>
      </c>
      <c r="AE297" s="118"/>
      <c r="AF297" s="118" t="e">
        <f>#REF!-AE297</f>
        <v>#REF!</v>
      </c>
      <c r="AG297" s="118"/>
      <c r="AH297" s="118" t="e">
        <f>#REF!-AG297</f>
        <v>#REF!</v>
      </c>
      <c r="AI297" s="118">
        <v>15</v>
      </c>
      <c r="AJ297" s="128"/>
      <c r="AK297" s="120" t="e">
        <f t="shared" si="53"/>
        <v>#REF!</v>
      </c>
    </row>
    <row r="298" spans="1:39" s="109" customFormat="1" ht="13.5" x14ac:dyDescent="0.25">
      <c r="A298" s="181">
        <v>2</v>
      </c>
      <c r="B298" s="122" t="s">
        <v>167</v>
      </c>
      <c r="C298" s="122">
        <v>2</v>
      </c>
      <c r="D298" s="122">
        <v>2</v>
      </c>
      <c r="E298" s="123"/>
      <c r="F298" s="123">
        <v>1042</v>
      </c>
      <c r="G298" s="123">
        <v>229</v>
      </c>
      <c r="H298" s="118">
        <v>32</v>
      </c>
      <c r="I298" s="118">
        <v>621</v>
      </c>
      <c r="J298" s="118">
        <v>160</v>
      </c>
      <c r="K298" s="123">
        <f t="shared" si="54"/>
        <v>229</v>
      </c>
      <c r="L298" s="124">
        <f t="shared" si="55"/>
        <v>16</v>
      </c>
      <c r="M298" s="124">
        <f t="shared" si="55"/>
        <v>310.5</v>
      </c>
      <c r="N298" s="124">
        <f t="shared" si="55"/>
        <v>80</v>
      </c>
      <c r="O298" s="124">
        <f t="shared" si="56"/>
        <v>635.5</v>
      </c>
      <c r="P298" s="124">
        <f t="shared" si="57"/>
        <v>16</v>
      </c>
      <c r="Q298" s="124">
        <f t="shared" si="57"/>
        <v>310.5</v>
      </c>
      <c r="R298" s="124">
        <f t="shared" si="57"/>
        <v>80</v>
      </c>
      <c r="S298" s="118">
        <f t="shared" si="58"/>
        <v>406.5</v>
      </c>
      <c r="T298" s="123" t="e">
        <f>'[1]убор.пл. ф-8 сост. 01.01.11 г.'!O309+'[1]убор.пл. ф-8 сост. 01.01.11 г.'!P309+'[1]убор.пл. ф-8 сост. 01.01.11 г.'!Q309+'[1]убор.пл. ф-8 сост. 01.01.11 г.'!R309+'[1]убор.пл. ф-8 сост. 01.01.11 г.'!U309+'[1]убор.пл. ф-8 сост. 01.01.11 г.'!V309+'[1]убор.пл. ф-8 сост. 01.01.11 г.'!X309+'[1]убор.пл. ф-8 сост. 01.01.11 г.'!Z309+'[1]убор.пл. ф-8 сост. 01.01.11 г.'!AA309+'[1]убор.пл. ф-8 сост. 01.01.11 г.'!AB309</f>
        <v>#REF!</v>
      </c>
      <c r="U298" s="123"/>
      <c r="V298" s="118">
        <v>281</v>
      </c>
      <c r="W298" s="123" t="e">
        <f>'[1]убор.пл. ф-8 сост. 01.01.11 г.'!S309+'[1]убор.пл. ф-8 сост. 01.01.11 г.'!W309+'[1]убор.пл. ф-8 сост. 01.01.11 г.'!AC309+'[1]убор.пл. ф-8 сост. 01.01.11 г.'!AD309</f>
        <v>#REF!</v>
      </c>
      <c r="X298" s="123"/>
      <c r="Y298" s="123">
        <v>1764</v>
      </c>
      <c r="Z298" s="118"/>
      <c r="AA298" s="123"/>
      <c r="AB298" s="118">
        <v>3087</v>
      </c>
      <c r="AC298" s="118"/>
      <c r="AD298" s="118">
        <f t="shared" si="59"/>
        <v>635.5</v>
      </c>
      <c r="AE298" s="118"/>
      <c r="AF298" s="118" t="e">
        <f>#REF!-AE298</f>
        <v>#REF!</v>
      </c>
      <c r="AG298" s="128">
        <v>18</v>
      </c>
      <c r="AH298" s="118" t="e">
        <f>#REF!-AG298</f>
        <v>#REF!</v>
      </c>
      <c r="AI298" s="118"/>
      <c r="AJ298" s="118"/>
      <c r="AK298" s="120" t="e">
        <f t="shared" si="53"/>
        <v>#REF!</v>
      </c>
    </row>
    <row r="299" spans="1:39" s="109" customFormat="1" ht="13.5" x14ac:dyDescent="0.25">
      <c r="A299" s="181">
        <v>3</v>
      </c>
      <c r="B299" s="122" t="s">
        <v>167</v>
      </c>
      <c r="C299" s="122">
        <v>4</v>
      </c>
      <c r="D299" s="122"/>
      <c r="E299" s="123">
        <f>1116</f>
        <v>1116</v>
      </c>
      <c r="F299" s="123">
        <f>871+E299</f>
        <v>1987</v>
      </c>
      <c r="G299" s="123">
        <f>205+E299</f>
        <v>1321</v>
      </c>
      <c r="H299" s="118">
        <v>112</v>
      </c>
      <c r="I299" s="118">
        <v>231</v>
      </c>
      <c r="J299" s="118">
        <v>323</v>
      </c>
      <c r="K299" s="123">
        <f t="shared" si="54"/>
        <v>1321</v>
      </c>
      <c r="L299" s="124">
        <f t="shared" si="55"/>
        <v>56</v>
      </c>
      <c r="M299" s="124">
        <f t="shared" si="55"/>
        <v>115.5</v>
      </c>
      <c r="N299" s="124">
        <f t="shared" si="55"/>
        <v>161.5</v>
      </c>
      <c r="O299" s="124">
        <f t="shared" si="56"/>
        <v>1654</v>
      </c>
      <c r="P299" s="124">
        <f t="shared" si="57"/>
        <v>56</v>
      </c>
      <c r="Q299" s="124">
        <f t="shared" si="57"/>
        <v>115.5</v>
      </c>
      <c r="R299" s="124">
        <f t="shared" si="57"/>
        <v>161.5</v>
      </c>
      <c r="S299" s="118">
        <f t="shared" si="58"/>
        <v>333</v>
      </c>
      <c r="T299" s="123" t="e">
        <f>'[1]убор.пл. ф-8 сост. 01.01.11 г.'!O310+'[1]убор.пл. ф-8 сост. 01.01.11 г.'!P310+'[1]убор.пл. ф-8 сост. 01.01.11 г.'!Q310+'[1]убор.пл. ф-8 сост. 01.01.11 г.'!R310+'[1]убор.пл. ф-8 сост. 01.01.11 г.'!U310+'[1]убор.пл. ф-8 сост. 01.01.11 г.'!V310+'[1]убор.пл. ф-8 сост. 01.01.11 г.'!X310+'[1]убор.пл. ф-8 сост. 01.01.11 г.'!Z310+'[1]убор.пл. ф-8 сост. 01.01.11 г.'!AA310+'[1]убор.пл. ф-8 сост. 01.01.11 г.'!AB310</f>
        <v>#REF!</v>
      </c>
      <c r="U299" s="123"/>
      <c r="V299" s="118"/>
      <c r="W299" s="123" t="e">
        <f>'[1]убор.пл. ф-8 сост. 01.01.11 г.'!S310+'[1]убор.пл. ф-8 сост. 01.01.11 г.'!W310+'[1]убор.пл. ф-8 сост. 01.01.11 г.'!AC310+'[1]убор.пл. ф-8 сост. 01.01.11 г.'!AD310</f>
        <v>#REF!</v>
      </c>
      <c r="X299" s="123"/>
      <c r="Y299" s="123">
        <f>2569-E299</f>
        <v>1453</v>
      </c>
      <c r="Z299" s="118">
        <v>5969</v>
      </c>
      <c r="AA299" s="123"/>
      <c r="AB299" s="118">
        <v>9409</v>
      </c>
      <c r="AC299" s="118"/>
      <c r="AD299" s="118">
        <f t="shared" si="59"/>
        <v>1654</v>
      </c>
      <c r="AE299" s="118"/>
      <c r="AF299" s="118" t="e">
        <f>#REF!-AE299</f>
        <v>#REF!</v>
      </c>
      <c r="AG299" s="118"/>
      <c r="AH299" s="118" t="e">
        <f>#REF!-AG299</f>
        <v>#REF!</v>
      </c>
      <c r="AI299" s="118"/>
      <c r="AJ299" s="118"/>
      <c r="AK299" s="120" t="e">
        <f t="shared" si="53"/>
        <v>#REF!</v>
      </c>
    </row>
    <row r="300" spans="1:39" s="109" customFormat="1" ht="13.5" x14ac:dyDescent="0.25">
      <c r="A300" s="181">
        <v>4</v>
      </c>
      <c r="B300" s="122" t="s">
        <v>167</v>
      </c>
      <c r="C300" s="122">
        <v>6</v>
      </c>
      <c r="D300" s="122"/>
      <c r="E300" s="123"/>
      <c r="F300" s="123">
        <v>1005</v>
      </c>
      <c r="G300" s="123">
        <v>235</v>
      </c>
      <c r="H300" s="118">
        <v>260</v>
      </c>
      <c r="I300" s="118">
        <v>194</v>
      </c>
      <c r="J300" s="118">
        <v>316</v>
      </c>
      <c r="K300" s="123">
        <f t="shared" si="54"/>
        <v>235</v>
      </c>
      <c r="L300" s="124">
        <f t="shared" si="55"/>
        <v>130</v>
      </c>
      <c r="M300" s="124">
        <f t="shared" si="55"/>
        <v>97</v>
      </c>
      <c r="N300" s="124">
        <f t="shared" si="55"/>
        <v>158</v>
      </c>
      <c r="O300" s="124">
        <f t="shared" si="56"/>
        <v>620</v>
      </c>
      <c r="P300" s="124">
        <f t="shared" si="57"/>
        <v>130</v>
      </c>
      <c r="Q300" s="124">
        <f t="shared" si="57"/>
        <v>97</v>
      </c>
      <c r="R300" s="124">
        <f t="shared" si="57"/>
        <v>158</v>
      </c>
      <c r="S300" s="118">
        <f t="shared" si="58"/>
        <v>385</v>
      </c>
      <c r="T300" s="123"/>
      <c r="U300" s="123"/>
      <c r="V300" s="118"/>
      <c r="W300" s="123" t="e">
        <f>'[1]убор.пл. ф-8 сост. 01.01.11 г.'!S311+'[1]убор.пл. ф-8 сост. 01.01.11 г.'!W311+'[1]убор.пл. ф-8 сост. 01.01.11 г.'!AC311+'[1]убор.пл. ф-8 сост. 01.01.11 г.'!AD311</f>
        <v>#REF!</v>
      </c>
      <c r="X300" s="123"/>
      <c r="Y300" s="123">
        <v>4183</v>
      </c>
      <c r="Z300" s="118">
        <v>3968</v>
      </c>
      <c r="AA300" s="123"/>
      <c r="AB300" s="118">
        <v>9156</v>
      </c>
      <c r="AC300" s="118"/>
      <c r="AD300" s="118">
        <f t="shared" si="59"/>
        <v>620</v>
      </c>
      <c r="AE300" s="118"/>
      <c r="AF300" s="118" t="e">
        <f>#REF!-AE300</f>
        <v>#REF!</v>
      </c>
      <c r="AG300" s="118"/>
      <c r="AH300" s="118" t="e">
        <f>#REF!-AG300</f>
        <v>#REF!</v>
      </c>
      <c r="AI300" s="118"/>
      <c r="AJ300" s="118"/>
      <c r="AK300" s="120" t="e">
        <f t="shared" si="53"/>
        <v>#REF!</v>
      </c>
    </row>
    <row r="301" spans="1:39" s="109" customFormat="1" ht="13.5" x14ac:dyDescent="0.25">
      <c r="A301" s="181">
        <v>5</v>
      </c>
      <c r="B301" s="122" t="s">
        <v>167</v>
      </c>
      <c r="C301" s="122">
        <v>8</v>
      </c>
      <c r="D301" s="122"/>
      <c r="E301" s="123">
        <f>150</f>
        <v>150</v>
      </c>
      <c r="F301" s="123">
        <f>1657+E301</f>
        <v>1807</v>
      </c>
      <c r="G301" s="123">
        <f>335+E301</f>
        <v>485</v>
      </c>
      <c r="H301" s="118">
        <v>109</v>
      </c>
      <c r="I301" s="118">
        <v>298</v>
      </c>
      <c r="J301" s="118">
        <v>915</v>
      </c>
      <c r="K301" s="123">
        <f t="shared" si="54"/>
        <v>485</v>
      </c>
      <c r="L301" s="124">
        <f t="shared" si="55"/>
        <v>54.5</v>
      </c>
      <c r="M301" s="124">
        <f t="shared" si="55"/>
        <v>149</v>
      </c>
      <c r="N301" s="124">
        <f t="shared" si="55"/>
        <v>457.5</v>
      </c>
      <c r="O301" s="124">
        <f t="shared" si="56"/>
        <v>1146</v>
      </c>
      <c r="P301" s="124">
        <f t="shared" si="57"/>
        <v>54.5</v>
      </c>
      <c r="Q301" s="124">
        <f t="shared" si="57"/>
        <v>149</v>
      </c>
      <c r="R301" s="124">
        <f t="shared" si="57"/>
        <v>457.5</v>
      </c>
      <c r="S301" s="118">
        <f t="shared" si="58"/>
        <v>661</v>
      </c>
      <c r="T301" s="123">
        <v>75</v>
      </c>
      <c r="U301" s="123"/>
      <c r="V301" s="118">
        <v>75</v>
      </c>
      <c r="W301" s="123" t="e">
        <f>'[1]убор.пл. ф-8 сост. 01.01.11 г.'!S312+'[1]убор.пл. ф-8 сост. 01.01.11 г.'!W312+'[1]убор.пл. ф-8 сост. 01.01.11 г.'!AC312+'[1]убор.пл. ф-8 сост. 01.01.11 г.'!AD312</f>
        <v>#REF!</v>
      </c>
      <c r="X301" s="123"/>
      <c r="Y301" s="123">
        <f>8323-E301</f>
        <v>8173</v>
      </c>
      <c r="Z301" s="118"/>
      <c r="AA301" s="123">
        <v>21</v>
      </c>
      <c r="AB301" s="118">
        <v>10055</v>
      </c>
      <c r="AC301" s="118"/>
      <c r="AD301" s="118">
        <f t="shared" si="59"/>
        <v>1146</v>
      </c>
      <c r="AE301" s="118"/>
      <c r="AF301" s="118" t="e">
        <f>#REF!-AE301</f>
        <v>#REF!</v>
      </c>
      <c r="AG301" s="118"/>
      <c r="AH301" s="118" t="e">
        <f>#REF!-AG301</f>
        <v>#REF!</v>
      </c>
      <c r="AI301" s="118">
        <v>21</v>
      </c>
      <c r="AJ301" s="128"/>
      <c r="AK301" s="120" t="e">
        <f t="shared" si="53"/>
        <v>#REF!</v>
      </c>
    </row>
    <row r="302" spans="1:39" s="109" customFormat="1" ht="13.5" x14ac:dyDescent="0.25">
      <c r="A302" s="181">
        <v>6</v>
      </c>
      <c r="B302" s="122" t="s">
        <v>167</v>
      </c>
      <c r="C302" s="122">
        <v>10</v>
      </c>
      <c r="D302" s="237">
        <v>1.2</v>
      </c>
      <c r="E302" s="123">
        <f>1285.5</f>
        <v>1285.5</v>
      </c>
      <c r="F302" s="123">
        <f>1769+E302</f>
        <v>3054.5</v>
      </c>
      <c r="G302" s="123">
        <f>389+E302</f>
        <v>1674.5</v>
      </c>
      <c r="H302" s="118">
        <v>377</v>
      </c>
      <c r="I302" s="118">
        <v>760</v>
      </c>
      <c r="J302" s="118">
        <v>243</v>
      </c>
      <c r="K302" s="123">
        <f t="shared" si="54"/>
        <v>1674.5</v>
      </c>
      <c r="L302" s="124">
        <f t="shared" si="55"/>
        <v>188.5</v>
      </c>
      <c r="M302" s="124">
        <f t="shared" si="55"/>
        <v>380</v>
      </c>
      <c r="N302" s="124">
        <f t="shared" si="55"/>
        <v>121.5</v>
      </c>
      <c r="O302" s="124">
        <f t="shared" si="56"/>
        <v>2364.5</v>
      </c>
      <c r="P302" s="124">
        <f t="shared" si="57"/>
        <v>188.5</v>
      </c>
      <c r="Q302" s="124">
        <f t="shared" si="57"/>
        <v>380</v>
      </c>
      <c r="R302" s="124">
        <f t="shared" si="57"/>
        <v>121.5</v>
      </c>
      <c r="S302" s="118">
        <f t="shared" si="58"/>
        <v>690</v>
      </c>
      <c r="T302" s="123" t="e">
        <f>'[1]убор.пл. ф-8 сост. 01.01.11 г.'!O313+'[1]убор.пл. ф-8 сост. 01.01.11 г.'!P313+'[1]убор.пл. ф-8 сост. 01.01.11 г.'!Q313+'[1]убор.пл. ф-8 сост. 01.01.11 г.'!R313+'[1]убор.пл. ф-8 сост. 01.01.11 г.'!U313+'[1]убор.пл. ф-8 сост. 01.01.11 г.'!V313+'[1]убор.пл. ф-8 сост. 01.01.11 г.'!X313+'[1]убор.пл. ф-8 сост. 01.01.11 г.'!Z313+'[1]убор.пл. ф-8 сост. 01.01.11 г.'!AA313+'[1]убор.пл. ф-8 сост. 01.01.11 г.'!AB313</f>
        <v>#REF!</v>
      </c>
      <c r="U302" s="123"/>
      <c r="V302" s="118">
        <v>165</v>
      </c>
      <c r="W302" s="123" t="e">
        <f>'[1]убор.пл. ф-8 сост. 01.01.11 г.'!S313+'[1]убор.пл. ф-8 сост. 01.01.11 г.'!W313+'[1]убор.пл. ф-8 сост. 01.01.11 г.'!AC313+'[1]убор.пл. ф-8 сост. 01.01.11 г.'!AD313</f>
        <v>#REF!</v>
      </c>
      <c r="X302" s="123"/>
      <c r="Y302" s="123">
        <f>7266-E302</f>
        <v>5980.5</v>
      </c>
      <c r="Z302" s="118"/>
      <c r="AA302" s="238"/>
      <c r="AB302" s="118">
        <v>9200</v>
      </c>
      <c r="AC302" s="118"/>
      <c r="AD302" s="118">
        <f t="shared" si="59"/>
        <v>2364.5</v>
      </c>
      <c r="AE302" s="118"/>
      <c r="AF302" s="118" t="e">
        <f>#REF!-AE302</f>
        <v>#REF!</v>
      </c>
      <c r="AG302" s="118"/>
      <c r="AH302" s="118" t="e">
        <f>#REF!-AG302</f>
        <v>#REF!</v>
      </c>
      <c r="AI302" s="128"/>
      <c r="AJ302" s="118"/>
      <c r="AK302" s="120" t="e">
        <f t="shared" si="53"/>
        <v>#REF!</v>
      </c>
    </row>
    <row r="303" spans="1:39" s="109" customFormat="1" ht="13.5" x14ac:dyDescent="0.25">
      <c r="A303" s="181">
        <v>7</v>
      </c>
      <c r="B303" s="122" t="s">
        <v>168</v>
      </c>
      <c r="C303" s="122">
        <v>3</v>
      </c>
      <c r="D303" s="122">
        <v>1</v>
      </c>
      <c r="E303" s="123"/>
      <c r="F303" s="123">
        <v>3270</v>
      </c>
      <c r="G303" s="123">
        <v>614</v>
      </c>
      <c r="H303" s="118">
        <v>637</v>
      </c>
      <c r="I303" s="118">
        <v>609</v>
      </c>
      <c r="J303" s="118">
        <v>1410</v>
      </c>
      <c r="K303" s="123">
        <f t="shared" si="54"/>
        <v>614</v>
      </c>
      <c r="L303" s="124">
        <f t="shared" si="55"/>
        <v>318.5</v>
      </c>
      <c r="M303" s="124">
        <f t="shared" si="55"/>
        <v>304.5</v>
      </c>
      <c r="N303" s="124">
        <f t="shared" si="55"/>
        <v>705</v>
      </c>
      <c r="O303" s="124">
        <f t="shared" si="56"/>
        <v>1942</v>
      </c>
      <c r="P303" s="124">
        <f t="shared" si="57"/>
        <v>318.5</v>
      </c>
      <c r="Q303" s="124">
        <f t="shared" si="57"/>
        <v>304.5</v>
      </c>
      <c r="R303" s="124">
        <f t="shared" si="57"/>
        <v>705</v>
      </c>
      <c r="S303" s="118">
        <f t="shared" si="58"/>
        <v>1328</v>
      </c>
      <c r="T303" s="123" t="e">
        <f>'[1]убор.пл. ф-8 сост. 01.01.11 г.'!O314+'[1]убор.пл. ф-8 сост. 01.01.11 г.'!P314+'[1]убор.пл. ф-8 сост. 01.01.11 г.'!Q314+'[1]убор.пл. ф-8 сост. 01.01.11 г.'!R314+'[1]убор.пл. ф-8 сост. 01.01.11 г.'!U314+'[1]убор.пл. ф-8 сост. 01.01.11 г.'!V314+'[1]убор.пл. ф-8 сост. 01.01.11 г.'!X314+'[1]убор.пл. ф-8 сост. 01.01.11 г.'!Z314+'[1]убор.пл. ф-8 сост. 01.01.11 г.'!AA314+'[1]убор.пл. ф-8 сост. 01.01.11 г.'!AB314</f>
        <v>#REF!</v>
      </c>
      <c r="U303" s="123"/>
      <c r="V303" s="118">
        <v>439</v>
      </c>
      <c r="W303" s="123" t="e">
        <f>'[1]убор.пл. ф-8 сост. 01.01.11 г.'!S314+'[1]убор.пл. ф-8 сост. 01.01.11 г.'!W314+'[1]убор.пл. ф-8 сост. 01.01.11 г.'!AC314+'[1]убор.пл. ф-8 сост. 01.01.11 г.'!AD314</f>
        <v>#REF!</v>
      </c>
      <c r="X303" s="123"/>
      <c r="Y303" s="123">
        <v>7158</v>
      </c>
      <c r="Z303" s="118"/>
      <c r="AA303" s="123">
        <v>12</v>
      </c>
      <c r="AB303" s="118">
        <v>10867</v>
      </c>
      <c r="AC303" s="118"/>
      <c r="AD303" s="118">
        <f t="shared" si="59"/>
        <v>1942</v>
      </c>
      <c r="AE303" s="118"/>
      <c r="AF303" s="118" t="e">
        <f>#REF!-AE303</f>
        <v>#REF!</v>
      </c>
      <c r="AG303" s="128"/>
      <c r="AH303" s="118" t="e">
        <f>#REF!-AG303</f>
        <v>#REF!</v>
      </c>
      <c r="AI303" s="118">
        <v>12</v>
      </c>
      <c r="AJ303" s="128"/>
      <c r="AK303" s="120" t="e">
        <f t="shared" si="53"/>
        <v>#REF!</v>
      </c>
    </row>
    <row r="304" spans="1:39" s="109" customFormat="1" ht="13.5" x14ac:dyDescent="0.25">
      <c r="A304" s="181">
        <v>8</v>
      </c>
      <c r="B304" s="122" t="s">
        <v>168</v>
      </c>
      <c r="C304" s="122">
        <v>3</v>
      </c>
      <c r="D304" s="122">
        <v>2</v>
      </c>
      <c r="E304" s="123"/>
      <c r="F304" s="123">
        <v>2399</v>
      </c>
      <c r="G304" s="123">
        <v>448</v>
      </c>
      <c r="H304" s="118">
        <v>700</v>
      </c>
      <c r="I304" s="118">
        <v>784</v>
      </c>
      <c r="J304" s="118">
        <v>467</v>
      </c>
      <c r="K304" s="123">
        <f t="shared" si="54"/>
        <v>448</v>
      </c>
      <c r="L304" s="124">
        <f t="shared" si="55"/>
        <v>350</v>
      </c>
      <c r="M304" s="124">
        <f t="shared" si="55"/>
        <v>392</v>
      </c>
      <c r="N304" s="124">
        <f t="shared" si="55"/>
        <v>233.5</v>
      </c>
      <c r="O304" s="124">
        <f t="shared" si="56"/>
        <v>1423.5</v>
      </c>
      <c r="P304" s="124">
        <f t="shared" si="57"/>
        <v>350</v>
      </c>
      <c r="Q304" s="124">
        <f t="shared" si="57"/>
        <v>392</v>
      </c>
      <c r="R304" s="124">
        <f t="shared" si="57"/>
        <v>233.5</v>
      </c>
      <c r="S304" s="118">
        <f t="shared" si="58"/>
        <v>975.5</v>
      </c>
      <c r="T304" s="123" t="e">
        <f>'[1]убор.пл. ф-8 сост. 01.01.11 г.'!O315+'[1]убор.пл. ф-8 сост. 01.01.11 г.'!P315+'[1]убор.пл. ф-8 сост. 01.01.11 г.'!Q315+'[1]убор.пл. ф-8 сост. 01.01.11 г.'!R315+'[1]убор.пл. ф-8 сост. 01.01.11 г.'!U315+'[1]убор.пл. ф-8 сост. 01.01.11 г.'!V315+'[1]убор.пл. ф-8 сост. 01.01.11 г.'!X315+'[1]убор.пл. ф-8 сост. 01.01.11 г.'!Z315+'[1]убор.пл. ф-8 сост. 01.01.11 г.'!AA315+'[1]убор.пл. ф-8 сост. 01.01.11 г.'!AB315</f>
        <v>#REF!</v>
      </c>
      <c r="U304" s="123"/>
      <c r="V304" s="118">
        <v>369</v>
      </c>
      <c r="W304" s="123" t="e">
        <f>'[1]убор.пл. ф-8 сост. 01.01.11 г.'!S315+'[1]убор.пл. ф-8 сост. 01.01.11 г.'!W315+'[1]убор.пл. ф-8 сост. 01.01.11 г.'!AC315+'[1]убор.пл. ф-8 сост. 01.01.11 г.'!AD315</f>
        <v>#REF!</v>
      </c>
      <c r="X304" s="123"/>
      <c r="Y304" s="123">
        <v>8195</v>
      </c>
      <c r="Z304" s="118"/>
      <c r="AA304" s="123">
        <v>26</v>
      </c>
      <c r="AB304" s="118">
        <v>10963</v>
      </c>
      <c r="AC304" s="118"/>
      <c r="AD304" s="118">
        <f t="shared" si="59"/>
        <v>1423.5</v>
      </c>
      <c r="AE304" s="118"/>
      <c r="AF304" s="118" t="e">
        <f>#REF!-AE304</f>
        <v>#REF!</v>
      </c>
      <c r="AG304" s="128"/>
      <c r="AH304" s="118" t="e">
        <f>#REF!-AG304</f>
        <v>#REF!</v>
      </c>
      <c r="AI304" s="118">
        <v>26</v>
      </c>
      <c r="AJ304" s="128"/>
      <c r="AK304" s="120" t="e">
        <f t="shared" si="53"/>
        <v>#REF!</v>
      </c>
    </row>
    <row r="305" spans="1:38" s="109" customFormat="1" ht="13.5" x14ac:dyDescent="0.25">
      <c r="A305" s="181">
        <v>9</v>
      </c>
      <c r="B305" s="122" t="s">
        <v>168</v>
      </c>
      <c r="C305" s="122">
        <v>3</v>
      </c>
      <c r="D305" s="122">
        <v>3</v>
      </c>
      <c r="E305" s="123">
        <f>145+225.53+612.62</f>
        <v>983.15</v>
      </c>
      <c r="F305" s="123">
        <f>4543+E305</f>
        <v>5526.15</v>
      </c>
      <c r="G305" s="123">
        <f>803+E305</f>
        <v>1786.15</v>
      </c>
      <c r="H305" s="118">
        <v>485</v>
      </c>
      <c r="I305" s="118">
        <v>1494</v>
      </c>
      <c r="J305" s="118">
        <v>1761</v>
      </c>
      <c r="K305" s="123">
        <f t="shared" si="54"/>
        <v>1786.15</v>
      </c>
      <c r="L305" s="124">
        <f t="shared" si="55"/>
        <v>242.5</v>
      </c>
      <c r="M305" s="124">
        <f t="shared" si="55"/>
        <v>747</v>
      </c>
      <c r="N305" s="124">
        <f t="shared" si="55"/>
        <v>880.5</v>
      </c>
      <c r="O305" s="124">
        <f t="shared" si="56"/>
        <v>3656.15</v>
      </c>
      <c r="P305" s="124">
        <f t="shared" si="57"/>
        <v>242.5</v>
      </c>
      <c r="Q305" s="124">
        <f t="shared" si="57"/>
        <v>747</v>
      </c>
      <c r="R305" s="124">
        <f t="shared" si="57"/>
        <v>880.5</v>
      </c>
      <c r="S305" s="118">
        <f t="shared" si="58"/>
        <v>1870</v>
      </c>
      <c r="T305" s="123">
        <v>129</v>
      </c>
      <c r="U305" s="123"/>
      <c r="V305" s="118">
        <v>129</v>
      </c>
      <c r="W305" s="123" t="e">
        <f>'[1]убор.пл. ф-8 сост. 01.01.11 г.'!S316+'[1]убор.пл. ф-8 сост. 01.01.11 г.'!W316+'[1]убор.пл. ф-8 сост. 01.01.11 г.'!AC316+'[1]убор.пл. ф-8 сост. 01.01.11 г.'!AD316</f>
        <v>#REF!</v>
      </c>
      <c r="X305" s="123"/>
      <c r="Y305" s="123">
        <f>9260-E305</f>
        <v>8276.85</v>
      </c>
      <c r="Z305" s="118"/>
      <c r="AA305" s="123">
        <v>15</v>
      </c>
      <c r="AB305" s="118">
        <v>13932</v>
      </c>
      <c r="AC305" s="118"/>
      <c r="AD305" s="118">
        <f t="shared" si="59"/>
        <v>3656.15</v>
      </c>
      <c r="AE305" s="118">
        <v>12</v>
      </c>
      <c r="AF305" s="118" t="e">
        <f>#REF!-AE305</f>
        <v>#REF!</v>
      </c>
      <c r="AG305" s="128">
        <v>24</v>
      </c>
      <c r="AH305" s="118" t="e">
        <f>#REF!-AG305</f>
        <v>#REF!</v>
      </c>
      <c r="AI305" s="118">
        <v>15</v>
      </c>
      <c r="AJ305" s="128"/>
      <c r="AK305" s="120" t="e">
        <f t="shared" si="53"/>
        <v>#REF!</v>
      </c>
    </row>
    <row r="306" spans="1:38" s="109" customFormat="1" ht="13.5" x14ac:dyDescent="0.25">
      <c r="A306" s="181">
        <v>10</v>
      </c>
      <c r="B306" s="122" t="s">
        <v>168</v>
      </c>
      <c r="C306" s="122">
        <v>3</v>
      </c>
      <c r="D306" s="122">
        <v>5</v>
      </c>
      <c r="E306" s="123">
        <f>86.18+156.25+445.2+1342+101.26</f>
        <v>2130.8900000000003</v>
      </c>
      <c r="F306" s="123">
        <f>4140+E306</f>
        <v>6270.89</v>
      </c>
      <c r="G306" s="123">
        <f>337+E306</f>
        <v>2467.8900000000003</v>
      </c>
      <c r="H306" s="118">
        <v>664</v>
      </c>
      <c r="I306" s="118">
        <v>1381</v>
      </c>
      <c r="J306" s="118">
        <v>1758</v>
      </c>
      <c r="K306" s="123">
        <f t="shared" si="54"/>
        <v>2467.8900000000003</v>
      </c>
      <c r="L306" s="124">
        <f t="shared" si="55"/>
        <v>332</v>
      </c>
      <c r="M306" s="124">
        <f t="shared" si="55"/>
        <v>690.5</v>
      </c>
      <c r="N306" s="124">
        <f t="shared" si="55"/>
        <v>879</v>
      </c>
      <c r="O306" s="124">
        <f t="shared" si="56"/>
        <v>4369.3900000000003</v>
      </c>
      <c r="P306" s="124">
        <f t="shared" si="57"/>
        <v>332</v>
      </c>
      <c r="Q306" s="124">
        <f t="shared" si="57"/>
        <v>690.5</v>
      </c>
      <c r="R306" s="124">
        <f t="shared" si="57"/>
        <v>879</v>
      </c>
      <c r="S306" s="118">
        <f t="shared" si="58"/>
        <v>1901.5</v>
      </c>
      <c r="T306" s="123">
        <v>703</v>
      </c>
      <c r="U306" s="123"/>
      <c r="V306" s="118">
        <v>703</v>
      </c>
      <c r="W306" s="123" t="e">
        <f>'[1]убор.пл. ф-8 сост. 01.01.11 г.'!S317+'[1]убор.пл. ф-8 сост. 01.01.11 г.'!W317+'[1]убор.пл. ф-8 сост. 01.01.11 г.'!AC317+'[1]убор.пл. ф-8 сост. 01.01.11 г.'!AD317</f>
        <v>#REF!</v>
      </c>
      <c r="X306" s="123"/>
      <c r="Y306" s="123">
        <f>5106-E306</f>
        <v>2975.1099999999997</v>
      </c>
      <c r="Z306" s="118"/>
      <c r="AA306" s="123">
        <v>6</v>
      </c>
      <c r="AB306" s="118">
        <v>9949</v>
      </c>
      <c r="AC306" s="118"/>
      <c r="AD306" s="118">
        <f t="shared" si="59"/>
        <v>4369.3900000000003</v>
      </c>
      <c r="AE306" s="118">
        <v>12</v>
      </c>
      <c r="AF306" s="118" t="e">
        <f>#REF!-AE306</f>
        <v>#REF!</v>
      </c>
      <c r="AG306" s="128">
        <v>210</v>
      </c>
      <c r="AH306" s="118" t="e">
        <f>#REF!-AG306</f>
        <v>#REF!</v>
      </c>
      <c r="AI306" s="118">
        <v>6</v>
      </c>
      <c r="AJ306" s="128"/>
      <c r="AK306" s="120" t="e">
        <f t="shared" si="53"/>
        <v>#REF!</v>
      </c>
    </row>
    <row r="307" spans="1:38" s="109" customFormat="1" ht="13.5" x14ac:dyDescent="0.25">
      <c r="A307" s="181">
        <v>11</v>
      </c>
      <c r="B307" s="122" t="s">
        <v>168</v>
      </c>
      <c r="C307" s="122">
        <v>3</v>
      </c>
      <c r="D307" s="122">
        <v>6</v>
      </c>
      <c r="E307" s="123">
        <f>81.7</f>
        <v>81.7</v>
      </c>
      <c r="F307" s="123">
        <f>2001+E307</f>
        <v>2082.6999999999998</v>
      </c>
      <c r="G307" s="123">
        <f>214+E307</f>
        <v>295.7</v>
      </c>
      <c r="H307" s="118">
        <v>308</v>
      </c>
      <c r="I307" s="118">
        <v>765</v>
      </c>
      <c r="J307" s="118">
        <v>714</v>
      </c>
      <c r="K307" s="123">
        <f t="shared" si="54"/>
        <v>295.7</v>
      </c>
      <c r="L307" s="124">
        <f t="shared" si="55"/>
        <v>154</v>
      </c>
      <c r="M307" s="124">
        <f t="shared" si="55"/>
        <v>382.5</v>
      </c>
      <c r="N307" s="124">
        <f t="shared" si="55"/>
        <v>357</v>
      </c>
      <c r="O307" s="124">
        <f t="shared" si="56"/>
        <v>1189.2</v>
      </c>
      <c r="P307" s="124">
        <f t="shared" si="57"/>
        <v>154</v>
      </c>
      <c r="Q307" s="124">
        <f t="shared" si="57"/>
        <v>382.5</v>
      </c>
      <c r="R307" s="124">
        <f t="shared" si="57"/>
        <v>357</v>
      </c>
      <c r="S307" s="118">
        <f t="shared" si="58"/>
        <v>893.5</v>
      </c>
      <c r="T307" s="123">
        <v>271</v>
      </c>
      <c r="U307" s="123"/>
      <c r="V307" s="118">
        <v>271</v>
      </c>
      <c r="W307" s="123" t="e">
        <f>'[1]убор.пл. ф-8 сост. 01.01.11 г.'!S318+'[1]убор.пл. ф-8 сост. 01.01.11 г.'!W318+'[1]убор.пл. ф-8 сост. 01.01.11 г.'!AC318+'[1]убор.пл. ф-8 сост. 01.01.11 г.'!AD318</f>
        <v>#REF!</v>
      </c>
      <c r="X307" s="123"/>
      <c r="Y307" s="123">
        <f>4518-E307</f>
        <v>4436.3</v>
      </c>
      <c r="Z307" s="118"/>
      <c r="AA307" s="123">
        <v>16</v>
      </c>
      <c r="AB307" s="118">
        <v>6790</v>
      </c>
      <c r="AC307" s="118"/>
      <c r="AD307" s="118">
        <f t="shared" si="59"/>
        <v>1189.2</v>
      </c>
      <c r="AE307" s="118">
        <v>12</v>
      </c>
      <c r="AF307" s="118" t="e">
        <f>#REF!-AE307</f>
        <v>#REF!</v>
      </c>
      <c r="AG307" s="128">
        <v>30</v>
      </c>
      <c r="AH307" s="118" t="e">
        <f>#REF!-AG307</f>
        <v>#REF!</v>
      </c>
      <c r="AI307" s="118">
        <v>16</v>
      </c>
      <c r="AJ307" s="128"/>
      <c r="AK307" s="120" t="e">
        <f t="shared" si="53"/>
        <v>#REF!</v>
      </c>
    </row>
    <row r="308" spans="1:38" s="109" customFormat="1" ht="13.5" x14ac:dyDescent="0.25">
      <c r="A308" s="181">
        <v>12</v>
      </c>
      <c r="B308" s="122" t="s">
        <v>168</v>
      </c>
      <c r="C308" s="122">
        <v>5</v>
      </c>
      <c r="D308" s="122">
        <v>1</v>
      </c>
      <c r="E308" s="123"/>
      <c r="F308" s="123">
        <v>3261</v>
      </c>
      <c r="G308" s="123">
        <v>531</v>
      </c>
      <c r="H308" s="118">
        <v>486</v>
      </c>
      <c r="I308" s="118">
        <v>484</v>
      </c>
      <c r="J308" s="118">
        <v>1760</v>
      </c>
      <c r="K308" s="123">
        <f t="shared" si="54"/>
        <v>531</v>
      </c>
      <c r="L308" s="124">
        <f t="shared" si="55"/>
        <v>243</v>
      </c>
      <c r="M308" s="124">
        <f t="shared" si="55"/>
        <v>242</v>
      </c>
      <c r="N308" s="124">
        <f t="shared" si="55"/>
        <v>880</v>
      </c>
      <c r="O308" s="124">
        <f t="shared" si="56"/>
        <v>1896</v>
      </c>
      <c r="P308" s="124">
        <f t="shared" si="57"/>
        <v>243</v>
      </c>
      <c r="Q308" s="124">
        <f t="shared" si="57"/>
        <v>242</v>
      </c>
      <c r="R308" s="124">
        <f t="shared" si="57"/>
        <v>880</v>
      </c>
      <c r="S308" s="118">
        <f t="shared" si="58"/>
        <v>1365</v>
      </c>
      <c r="T308" s="123" t="e">
        <f>'[1]убор.пл. ф-8 сост. 01.01.11 г.'!O319+'[1]убор.пл. ф-8 сост. 01.01.11 г.'!P319+'[1]убор.пл. ф-8 сост. 01.01.11 г.'!Q319+'[1]убор.пл. ф-8 сост. 01.01.11 г.'!R319+'[1]убор.пл. ф-8 сост. 01.01.11 г.'!U319+'[1]убор.пл. ф-8 сост. 01.01.11 г.'!V319+'[1]убор.пл. ф-8 сост. 01.01.11 г.'!X319+'[1]убор.пл. ф-8 сост. 01.01.11 г.'!Z319+'[1]убор.пл. ф-8 сост. 01.01.11 г.'!AA319+'[1]убор.пл. ф-8 сост. 01.01.11 г.'!AB319</f>
        <v>#REF!</v>
      </c>
      <c r="U308" s="123">
        <v>938</v>
      </c>
      <c r="V308" s="118">
        <v>580</v>
      </c>
      <c r="W308" s="123" t="e">
        <f>'[1]убор.пл. ф-8 сост. 01.01.11 г.'!S319+'[1]убор.пл. ф-8 сост. 01.01.11 г.'!W319+'[1]убор.пл. ф-8 сост. 01.01.11 г.'!AC319+'[1]убор.пл. ф-8 сост. 01.01.11 г.'!AD319</f>
        <v>#REF!</v>
      </c>
      <c r="X308" s="123">
        <v>2255</v>
      </c>
      <c r="Y308" s="123">
        <v>8728</v>
      </c>
      <c r="Z308" s="118"/>
      <c r="AA308" s="239">
        <v>218</v>
      </c>
      <c r="AB308" s="240">
        <v>12569</v>
      </c>
      <c r="AC308" s="118"/>
      <c r="AD308" s="118">
        <f t="shared" si="59"/>
        <v>1896</v>
      </c>
      <c r="AE308" s="118"/>
      <c r="AF308" s="118" t="e">
        <f>#REF!-AE308</f>
        <v>#REF!</v>
      </c>
      <c r="AG308" s="128"/>
      <c r="AH308" s="118" t="e">
        <f>#REF!-AG308</f>
        <v>#REF!</v>
      </c>
      <c r="AI308" s="128"/>
      <c r="AJ308" s="118"/>
      <c r="AK308" s="120" t="e">
        <f t="shared" si="53"/>
        <v>#REF!</v>
      </c>
    </row>
    <row r="309" spans="1:38" s="109" customFormat="1" ht="13.5" x14ac:dyDescent="0.25">
      <c r="A309" s="181">
        <v>13</v>
      </c>
      <c r="B309" s="122" t="s">
        <v>168</v>
      </c>
      <c r="C309" s="122">
        <v>5</v>
      </c>
      <c r="D309" s="122">
        <v>2</v>
      </c>
      <c r="E309" s="123">
        <f>670.19</f>
        <v>670.19</v>
      </c>
      <c r="F309" s="123">
        <f>2171+E309</f>
        <v>2841.19</v>
      </c>
      <c r="G309" s="123">
        <f>466+E309</f>
        <v>1136.19</v>
      </c>
      <c r="H309" s="118">
        <v>453</v>
      </c>
      <c r="I309" s="118">
        <v>596</v>
      </c>
      <c r="J309" s="118">
        <v>656</v>
      </c>
      <c r="K309" s="123">
        <f t="shared" si="54"/>
        <v>1136.19</v>
      </c>
      <c r="L309" s="124">
        <f t="shared" si="55"/>
        <v>226.5</v>
      </c>
      <c r="M309" s="124">
        <f t="shared" si="55"/>
        <v>298</v>
      </c>
      <c r="N309" s="124">
        <f t="shared" si="55"/>
        <v>328</v>
      </c>
      <c r="O309" s="124">
        <f t="shared" si="56"/>
        <v>1988.69</v>
      </c>
      <c r="P309" s="124">
        <f t="shared" si="57"/>
        <v>226.5</v>
      </c>
      <c r="Q309" s="124">
        <f t="shared" si="57"/>
        <v>298</v>
      </c>
      <c r="R309" s="124">
        <f t="shared" si="57"/>
        <v>328</v>
      </c>
      <c r="S309" s="118">
        <f t="shared" si="58"/>
        <v>852.5</v>
      </c>
      <c r="T309" s="123" t="e">
        <f>'[1]убор.пл. ф-8 сост. 01.01.11 г.'!O320+'[1]убор.пл. ф-8 сост. 01.01.11 г.'!P320+'[1]убор.пл. ф-8 сост. 01.01.11 г.'!Q320+'[1]убор.пл. ф-8 сост. 01.01.11 г.'!R320+'[1]убор.пл. ф-8 сост. 01.01.11 г.'!U320+'[1]убор.пл. ф-8 сост. 01.01.11 г.'!V320+'[1]убор.пл. ф-8 сост. 01.01.11 г.'!X320+'[1]убор.пл. ф-8 сост. 01.01.11 г.'!Z320+'[1]убор.пл. ф-8 сост. 01.01.11 г.'!AA320+'[1]убор.пл. ф-8 сост. 01.01.11 г.'!AB320</f>
        <v>#REF!</v>
      </c>
      <c r="U309" s="123"/>
      <c r="V309" s="118">
        <v>411</v>
      </c>
      <c r="W309" s="123" t="e">
        <f>'[1]убор.пл. ф-8 сост. 01.01.11 г.'!S320+'[1]убор.пл. ф-8 сост. 01.01.11 г.'!W320+'[1]убор.пл. ф-8 сост. 01.01.11 г.'!AC320+'[1]убор.пл. ф-8 сост. 01.01.11 г.'!AD320</f>
        <v>#REF!</v>
      </c>
      <c r="X309" s="123"/>
      <c r="Y309" s="123">
        <f>9301-E309</f>
        <v>8630.81</v>
      </c>
      <c r="Z309" s="118"/>
      <c r="AA309" s="123">
        <v>26</v>
      </c>
      <c r="AB309" s="118">
        <v>11883</v>
      </c>
      <c r="AC309" s="118"/>
      <c r="AD309" s="118">
        <f t="shared" si="59"/>
        <v>1988.69</v>
      </c>
      <c r="AE309" s="118"/>
      <c r="AF309" s="118" t="e">
        <f>#REF!-AE309</f>
        <v>#REF!</v>
      </c>
      <c r="AG309" s="118"/>
      <c r="AH309" s="118" t="e">
        <f>#REF!-AG309</f>
        <v>#REF!</v>
      </c>
      <c r="AI309" s="118">
        <v>26</v>
      </c>
      <c r="AJ309" s="128"/>
      <c r="AK309" s="120" t="e">
        <f t="shared" si="53"/>
        <v>#REF!</v>
      </c>
    </row>
    <row r="310" spans="1:38" s="109" customFormat="1" ht="13.5" x14ac:dyDescent="0.25">
      <c r="A310" s="181">
        <v>14</v>
      </c>
      <c r="B310" s="122" t="s">
        <v>168</v>
      </c>
      <c r="C310" s="122">
        <v>5</v>
      </c>
      <c r="D310" s="122">
        <v>3</v>
      </c>
      <c r="E310" s="123"/>
      <c r="F310" s="123">
        <v>2397</v>
      </c>
      <c r="G310" s="123">
        <v>618</v>
      </c>
      <c r="H310" s="118">
        <v>534</v>
      </c>
      <c r="I310" s="118">
        <v>527</v>
      </c>
      <c r="J310" s="118">
        <v>718</v>
      </c>
      <c r="K310" s="123">
        <f t="shared" si="54"/>
        <v>618</v>
      </c>
      <c r="L310" s="124">
        <f t="shared" si="55"/>
        <v>267</v>
      </c>
      <c r="M310" s="124">
        <f t="shared" si="55"/>
        <v>263.5</v>
      </c>
      <c r="N310" s="124">
        <f t="shared" si="55"/>
        <v>359</v>
      </c>
      <c r="O310" s="124">
        <f t="shared" si="56"/>
        <v>1507.5</v>
      </c>
      <c r="P310" s="124">
        <f t="shared" si="57"/>
        <v>267</v>
      </c>
      <c r="Q310" s="124">
        <f t="shared" si="57"/>
        <v>263.5</v>
      </c>
      <c r="R310" s="124">
        <f t="shared" si="57"/>
        <v>359</v>
      </c>
      <c r="S310" s="118">
        <f t="shared" si="58"/>
        <v>889.5</v>
      </c>
      <c r="T310" s="123" t="e">
        <f>'[1]убор.пл. ф-8 сост. 01.01.11 г.'!O321+'[1]убор.пл. ф-8 сост. 01.01.11 г.'!P321+'[1]убор.пл. ф-8 сост. 01.01.11 г.'!Q321+'[1]убор.пл. ф-8 сост. 01.01.11 г.'!R321+'[1]убор.пл. ф-8 сост. 01.01.11 г.'!U321+'[1]убор.пл. ф-8 сост. 01.01.11 г.'!V321+'[1]убор.пл. ф-8 сост. 01.01.11 г.'!X321+'[1]убор.пл. ф-8 сост. 01.01.11 г.'!Z321+'[1]убор.пл. ф-8 сост. 01.01.11 г.'!AA321+'[1]убор.пл. ф-8 сост. 01.01.11 г.'!AB321</f>
        <v>#REF!</v>
      </c>
      <c r="U310" s="123"/>
      <c r="V310" s="118">
        <v>337</v>
      </c>
      <c r="W310" s="123" t="e">
        <f>'[1]убор.пл. ф-8 сост. 01.01.11 г.'!S321+'[1]убор.пл. ф-8 сост. 01.01.11 г.'!W321+'[1]убор.пл. ф-8 сост. 01.01.11 г.'!AC321+'[1]убор.пл. ф-8 сост. 01.01.11 г.'!AD321</f>
        <v>#REF!</v>
      </c>
      <c r="X310" s="123"/>
      <c r="Y310" s="123">
        <v>8164</v>
      </c>
      <c r="Z310" s="118"/>
      <c r="AA310" s="123">
        <v>5</v>
      </c>
      <c r="AB310" s="118">
        <v>10898</v>
      </c>
      <c r="AC310" s="118"/>
      <c r="AD310" s="118">
        <f t="shared" si="59"/>
        <v>1507.5</v>
      </c>
      <c r="AE310" s="118"/>
      <c r="AF310" s="118" t="e">
        <f>#REF!-AE310</f>
        <v>#REF!</v>
      </c>
      <c r="AG310" s="118"/>
      <c r="AH310" s="118" t="e">
        <f>#REF!-AG310</f>
        <v>#REF!</v>
      </c>
      <c r="AI310" s="118">
        <v>5</v>
      </c>
      <c r="AJ310" s="128"/>
      <c r="AK310" s="120" t="e">
        <f t="shared" si="53"/>
        <v>#REF!</v>
      </c>
    </row>
    <row r="311" spans="1:38" s="109" customFormat="1" ht="13.5" x14ac:dyDescent="0.25">
      <c r="A311" s="181">
        <v>15</v>
      </c>
      <c r="B311" s="122" t="s">
        <v>168</v>
      </c>
      <c r="C311" s="122">
        <v>5</v>
      </c>
      <c r="D311" s="122">
        <v>4</v>
      </c>
      <c r="E311" s="123">
        <f>725.92+156.51</f>
        <v>882.43</v>
      </c>
      <c r="F311" s="123">
        <f>5473+E311</f>
        <v>6355.43</v>
      </c>
      <c r="G311" s="123">
        <f>345+E311</f>
        <v>1227.4299999999998</v>
      </c>
      <c r="H311" s="118">
        <v>1113</v>
      </c>
      <c r="I311" s="118">
        <v>910</v>
      </c>
      <c r="J311" s="118">
        <v>3105</v>
      </c>
      <c r="K311" s="123">
        <f t="shared" si="54"/>
        <v>1227.4299999999998</v>
      </c>
      <c r="L311" s="124">
        <f t="shared" si="55"/>
        <v>556.5</v>
      </c>
      <c r="M311" s="124">
        <f t="shared" si="55"/>
        <v>455</v>
      </c>
      <c r="N311" s="124">
        <f t="shared" si="55"/>
        <v>1552.5</v>
      </c>
      <c r="O311" s="124">
        <f t="shared" si="56"/>
        <v>3791.43</v>
      </c>
      <c r="P311" s="124">
        <f t="shared" si="57"/>
        <v>556.5</v>
      </c>
      <c r="Q311" s="124">
        <f t="shared" si="57"/>
        <v>455</v>
      </c>
      <c r="R311" s="124">
        <f t="shared" si="57"/>
        <v>1552.5</v>
      </c>
      <c r="S311" s="118">
        <f t="shared" si="58"/>
        <v>2564</v>
      </c>
      <c r="T311" s="123">
        <v>188</v>
      </c>
      <c r="U311" s="123"/>
      <c r="V311" s="118">
        <v>188</v>
      </c>
      <c r="W311" s="123" t="e">
        <f>'[1]убор.пл. ф-8 сост. 01.01.11 г.'!S322+'[1]убор.пл. ф-8 сост. 01.01.11 г.'!W322+'[1]убор.пл. ф-8 сост. 01.01.11 г.'!AC322+'[1]убор.пл. ф-8 сост. 01.01.11 г.'!AD322</f>
        <v>#REF!</v>
      </c>
      <c r="X311" s="123"/>
      <c r="Y311" s="123">
        <f>9132-E311</f>
        <v>8249.57</v>
      </c>
      <c r="Z311" s="118">
        <v>372</v>
      </c>
      <c r="AA311" s="238"/>
      <c r="AB311" s="118">
        <v>15165</v>
      </c>
      <c r="AC311" s="118"/>
      <c r="AD311" s="118">
        <f t="shared" si="59"/>
        <v>3791.43</v>
      </c>
      <c r="AE311" s="118"/>
      <c r="AF311" s="118" t="e">
        <f>#REF!-AE311</f>
        <v>#REF!</v>
      </c>
      <c r="AG311" s="118">
        <v>30</v>
      </c>
      <c r="AH311" s="118" t="e">
        <f>#REF!-AG311</f>
        <v>#REF!</v>
      </c>
      <c r="AI311" s="128"/>
      <c r="AJ311" s="118"/>
      <c r="AK311" s="120" t="e">
        <f t="shared" si="53"/>
        <v>#REF!</v>
      </c>
    </row>
    <row r="312" spans="1:38" s="109" customFormat="1" ht="13.5" x14ac:dyDescent="0.25">
      <c r="A312" s="181">
        <v>16</v>
      </c>
      <c r="B312" s="122" t="s">
        <v>119</v>
      </c>
      <c r="C312" s="122">
        <v>3</v>
      </c>
      <c r="D312" s="122">
        <v>2</v>
      </c>
      <c r="E312" s="123"/>
      <c r="F312" s="123">
        <v>758</v>
      </c>
      <c r="G312" s="123">
        <v>406</v>
      </c>
      <c r="H312" s="118">
        <v>34</v>
      </c>
      <c r="I312" s="118">
        <v>200</v>
      </c>
      <c r="J312" s="118">
        <v>118</v>
      </c>
      <c r="K312" s="123">
        <f t="shared" si="54"/>
        <v>406</v>
      </c>
      <c r="L312" s="124">
        <f t="shared" si="55"/>
        <v>17</v>
      </c>
      <c r="M312" s="124">
        <f t="shared" si="55"/>
        <v>100</v>
      </c>
      <c r="N312" s="124">
        <f t="shared" si="55"/>
        <v>59</v>
      </c>
      <c r="O312" s="124">
        <f t="shared" si="56"/>
        <v>582</v>
      </c>
      <c r="P312" s="124">
        <f t="shared" si="57"/>
        <v>17</v>
      </c>
      <c r="Q312" s="124">
        <f t="shared" si="57"/>
        <v>100</v>
      </c>
      <c r="R312" s="124">
        <f t="shared" si="57"/>
        <v>59</v>
      </c>
      <c r="S312" s="118">
        <f t="shared" si="58"/>
        <v>176</v>
      </c>
      <c r="T312" s="123"/>
      <c r="U312" s="123"/>
      <c r="V312" s="118"/>
      <c r="W312" s="123" t="e">
        <f>'[1]убор.пл. ф-8 сост. 01.01.11 г.'!S323+'[1]убор.пл. ф-8 сост. 01.01.11 г.'!W323+'[1]убор.пл. ф-8 сост. 01.01.11 г.'!AC323+'[1]убор.пл. ф-8 сост. 01.01.11 г.'!AD323</f>
        <v>#REF!</v>
      </c>
      <c r="X312" s="123"/>
      <c r="Y312" s="123">
        <v>2910</v>
      </c>
      <c r="Z312" s="118"/>
      <c r="AA312" s="123">
        <v>16</v>
      </c>
      <c r="AB312" s="118">
        <v>3668</v>
      </c>
      <c r="AC312" s="118"/>
      <c r="AD312" s="118">
        <f t="shared" si="59"/>
        <v>582</v>
      </c>
      <c r="AE312" s="118"/>
      <c r="AF312" s="118" t="e">
        <f>#REF!-AE312</f>
        <v>#REF!</v>
      </c>
      <c r="AG312" s="118"/>
      <c r="AH312" s="118" t="e">
        <f>#REF!-AG312</f>
        <v>#REF!</v>
      </c>
      <c r="AI312" s="118">
        <v>16</v>
      </c>
      <c r="AJ312" s="128"/>
      <c r="AK312" s="120" t="e">
        <f t="shared" si="53"/>
        <v>#REF!</v>
      </c>
    </row>
    <row r="313" spans="1:38" s="109" customFormat="1" ht="13.5" x14ac:dyDescent="0.25">
      <c r="A313" s="181">
        <v>17</v>
      </c>
      <c r="B313" s="122" t="s">
        <v>119</v>
      </c>
      <c r="C313" s="122">
        <v>5</v>
      </c>
      <c r="D313" s="122"/>
      <c r="E313" s="123"/>
      <c r="F313" s="123">
        <v>1417</v>
      </c>
      <c r="G313" s="123">
        <v>570</v>
      </c>
      <c r="H313" s="118">
        <v>138</v>
      </c>
      <c r="I313" s="118">
        <v>644</v>
      </c>
      <c r="J313" s="118">
        <v>65</v>
      </c>
      <c r="K313" s="123">
        <f t="shared" si="54"/>
        <v>570</v>
      </c>
      <c r="L313" s="124">
        <f t="shared" si="55"/>
        <v>69</v>
      </c>
      <c r="M313" s="124">
        <f t="shared" si="55"/>
        <v>322</v>
      </c>
      <c r="N313" s="124">
        <f t="shared" si="55"/>
        <v>32.5</v>
      </c>
      <c r="O313" s="124">
        <f t="shared" si="56"/>
        <v>993.5</v>
      </c>
      <c r="P313" s="124">
        <f t="shared" si="57"/>
        <v>69</v>
      </c>
      <c r="Q313" s="124">
        <f t="shared" si="57"/>
        <v>322</v>
      </c>
      <c r="R313" s="124">
        <f t="shared" si="57"/>
        <v>32.5</v>
      </c>
      <c r="S313" s="118">
        <f t="shared" si="58"/>
        <v>423.5</v>
      </c>
      <c r="T313" s="123" t="e">
        <f>'[1]убор.пл. ф-8 сост. 01.01.11 г.'!O324+'[1]убор.пл. ф-8 сост. 01.01.11 г.'!P324+'[1]убор.пл. ф-8 сост. 01.01.11 г.'!Q324+'[1]убор.пл. ф-8 сост. 01.01.11 г.'!R324+'[1]убор.пл. ф-8 сост. 01.01.11 г.'!U324+'[1]убор.пл. ф-8 сост. 01.01.11 г.'!V324+'[1]убор.пл. ф-8 сост. 01.01.11 г.'!X324+'[1]убор.пл. ф-8 сост. 01.01.11 г.'!Z324+'[1]убор.пл. ф-8 сост. 01.01.11 г.'!AA324+'[1]убор.пл. ф-8 сост. 01.01.11 г.'!AB324</f>
        <v>#REF!</v>
      </c>
      <c r="U313" s="123"/>
      <c r="V313" s="118"/>
      <c r="W313" s="123" t="e">
        <f>'[1]убор.пл. ф-8 сост. 01.01.11 г.'!S324+'[1]убор.пл. ф-8 сост. 01.01.11 г.'!W324+'[1]убор.пл. ф-8 сост. 01.01.11 г.'!AC324+'[1]убор.пл. ф-8 сост. 01.01.11 г.'!AD324</f>
        <v>#REF!</v>
      </c>
      <c r="X313" s="123"/>
      <c r="Y313" s="123">
        <v>4187</v>
      </c>
      <c r="Z313" s="118"/>
      <c r="AA313" s="123">
        <v>6</v>
      </c>
      <c r="AB313" s="118">
        <v>5604</v>
      </c>
      <c r="AC313" s="118">
        <v>42</v>
      </c>
      <c r="AD313" s="118">
        <f t="shared" si="59"/>
        <v>951.5</v>
      </c>
      <c r="AE313" s="118"/>
      <c r="AF313" s="118" t="e">
        <f>#REF!-AE313</f>
        <v>#REF!</v>
      </c>
      <c r="AG313" s="118"/>
      <c r="AH313" s="118" t="e">
        <f>#REF!-AG313</f>
        <v>#REF!</v>
      </c>
      <c r="AI313" s="118">
        <v>6</v>
      </c>
      <c r="AJ313" s="128"/>
      <c r="AK313" s="120" t="e">
        <f t="shared" si="53"/>
        <v>#REF!</v>
      </c>
    </row>
    <row r="314" spans="1:38" s="109" customFormat="1" ht="13.5" x14ac:dyDescent="0.25">
      <c r="A314" s="181">
        <v>18</v>
      </c>
      <c r="B314" s="122" t="s">
        <v>119</v>
      </c>
      <c r="C314" s="122">
        <v>7</v>
      </c>
      <c r="D314" s="122"/>
      <c r="E314" s="123"/>
      <c r="F314" s="123">
        <v>1318</v>
      </c>
      <c r="G314" s="123">
        <v>459</v>
      </c>
      <c r="H314" s="118">
        <v>132</v>
      </c>
      <c r="I314" s="118">
        <v>654</v>
      </c>
      <c r="J314" s="118">
        <v>73</v>
      </c>
      <c r="K314" s="123">
        <f t="shared" si="54"/>
        <v>459</v>
      </c>
      <c r="L314" s="124">
        <f t="shared" si="55"/>
        <v>66</v>
      </c>
      <c r="M314" s="124">
        <f t="shared" si="55"/>
        <v>327</v>
      </c>
      <c r="N314" s="124">
        <f t="shared" si="55"/>
        <v>36.5</v>
      </c>
      <c r="O314" s="124">
        <f t="shared" si="56"/>
        <v>888.5</v>
      </c>
      <c r="P314" s="124">
        <f t="shared" si="57"/>
        <v>66</v>
      </c>
      <c r="Q314" s="124">
        <f t="shared" si="57"/>
        <v>327</v>
      </c>
      <c r="R314" s="124">
        <f t="shared" si="57"/>
        <v>36.5</v>
      </c>
      <c r="S314" s="118">
        <f t="shared" si="58"/>
        <v>429.5</v>
      </c>
      <c r="T314" s="123" t="e">
        <f>'[1]убор.пл. ф-8 сост. 01.01.11 г.'!O325+'[1]убор.пл. ф-8 сост. 01.01.11 г.'!P325+'[1]убор.пл. ф-8 сост. 01.01.11 г.'!Q325+'[1]убор.пл. ф-8 сост. 01.01.11 г.'!R325+'[1]убор.пл. ф-8 сост. 01.01.11 г.'!U325+'[1]убор.пл. ф-8 сост. 01.01.11 г.'!V325+'[1]убор.пл. ф-8 сост. 01.01.11 г.'!X325+'[1]убор.пл. ф-8 сост. 01.01.11 г.'!Z325+'[1]убор.пл. ф-8 сост. 01.01.11 г.'!AA325+'[1]убор.пл. ф-8 сост. 01.01.11 г.'!AB325</f>
        <v>#REF!</v>
      </c>
      <c r="U314" s="123"/>
      <c r="V314" s="118">
        <v>144</v>
      </c>
      <c r="W314" s="123" t="e">
        <f>'[1]убор.пл. ф-8 сост. 01.01.11 г.'!S325+'[1]убор.пл. ф-8 сост. 01.01.11 г.'!W325+'[1]убор.пл. ф-8 сост. 01.01.11 г.'!AC325+'[1]убор.пл. ф-8 сост. 01.01.11 г.'!AD325</f>
        <v>#REF!</v>
      </c>
      <c r="X314" s="123"/>
      <c r="Y314" s="123">
        <v>3632</v>
      </c>
      <c r="Z314" s="118"/>
      <c r="AA314" s="123">
        <v>7</v>
      </c>
      <c r="AB314" s="118">
        <v>5094</v>
      </c>
      <c r="AC314" s="118"/>
      <c r="AD314" s="118">
        <f t="shared" si="59"/>
        <v>888.5</v>
      </c>
      <c r="AE314" s="118"/>
      <c r="AF314" s="118" t="e">
        <f>#REF!-AE314</f>
        <v>#REF!</v>
      </c>
      <c r="AG314" s="128">
        <v>36</v>
      </c>
      <c r="AH314" s="118" t="e">
        <f>#REF!-AG314</f>
        <v>#REF!</v>
      </c>
      <c r="AI314" s="118">
        <v>7</v>
      </c>
      <c r="AJ314" s="128"/>
      <c r="AK314" s="120" t="e">
        <f t="shared" si="53"/>
        <v>#REF!</v>
      </c>
    </row>
    <row r="315" spans="1:38" s="109" customFormat="1" ht="13.5" x14ac:dyDescent="0.25">
      <c r="A315" s="181">
        <v>19</v>
      </c>
      <c r="B315" s="122" t="s">
        <v>119</v>
      </c>
      <c r="C315" s="122">
        <v>9</v>
      </c>
      <c r="D315" s="122"/>
      <c r="E315" s="123"/>
      <c r="F315" s="123">
        <v>1294</v>
      </c>
      <c r="G315" s="123">
        <v>393</v>
      </c>
      <c r="H315" s="118">
        <v>104</v>
      </c>
      <c r="I315" s="118">
        <v>744</v>
      </c>
      <c r="J315" s="118">
        <v>53</v>
      </c>
      <c r="K315" s="123">
        <f t="shared" si="54"/>
        <v>393</v>
      </c>
      <c r="L315" s="124">
        <f t="shared" si="55"/>
        <v>52</v>
      </c>
      <c r="M315" s="124">
        <f t="shared" si="55"/>
        <v>372</v>
      </c>
      <c r="N315" s="124">
        <f t="shared" si="55"/>
        <v>26.5</v>
      </c>
      <c r="O315" s="124">
        <f t="shared" si="56"/>
        <v>843.5</v>
      </c>
      <c r="P315" s="124">
        <f t="shared" si="57"/>
        <v>52</v>
      </c>
      <c r="Q315" s="124">
        <f t="shared" si="57"/>
        <v>372</v>
      </c>
      <c r="R315" s="124">
        <f t="shared" si="57"/>
        <v>26.5</v>
      </c>
      <c r="S315" s="118">
        <f t="shared" si="58"/>
        <v>450.5</v>
      </c>
      <c r="T315" s="123" t="e">
        <f>'[1]убор.пл. ф-8 сост. 01.01.11 г.'!O326+'[1]убор.пл. ф-8 сост. 01.01.11 г.'!P326+'[1]убор.пл. ф-8 сост. 01.01.11 г.'!Q326+'[1]убор.пл. ф-8 сост. 01.01.11 г.'!R326+'[1]убор.пл. ф-8 сост. 01.01.11 г.'!U326+'[1]убор.пл. ф-8 сост. 01.01.11 г.'!V326+'[1]убор.пл. ф-8 сост. 01.01.11 г.'!X326+'[1]убор.пл. ф-8 сост. 01.01.11 г.'!Z326+'[1]убор.пл. ф-8 сост. 01.01.11 г.'!AA326+'[1]убор.пл. ф-8 сост. 01.01.11 г.'!AB326</f>
        <v>#REF!</v>
      </c>
      <c r="U315" s="123"/>
      <c r="V315" s="118">
        <v>244</v>
      </c>
      <c r="W315" s="123" t="e">
        <f>'[1]убор.пл. ф-8 сост. 01.01.11 г.'!S326+'[1]убор.пл. ф-8 сост. 01.01.11 г.'!W326+'[1]убор.пл. ф-8 сост. 01.01.11 г.'!AC326+'[1]убор.пл. ф-8 сост. 01.01.11 г.'!AD326</f>
        <v>#REF!</v>
      </c>
      <c r="X315" s="123"/>
      <c r="Y315" s="123">
        <v>5843</v>
      </c>
      <c r="Z315" s="118"/>
      <c r="AA315" s="123">
        <v>7</v>
      </c>
      <c r="AB315" s="118">
        <v>7381</v>
      </c>
      <c r="AC315" s="118"/>
      <c r="AD315" s="118">
        <f t="shared" si="59"/>
        <v>843.5</v>
      </c>
      <c r="AE315" s="118"/>
      <c r="AF315" s="118" t="e">
        <f>#REF!-AE315</f>
        <v>#REF!</v>
      </c>
      <c r="AG315" s="128">
        <v>12</v>
      </c>
      <c r="AH315" s="118" t="e">
        <f>#REF!-AG315</f>
        <v>#REF!</v>
      </c>
      <c r="AI315" s="118">
        <v>7</v>
      </c>
      <c r="AJ315" s="128"/>
      <c r="AK315" s="120" t="e">
        <f t="shared" si="53"/>
        <v>#REF!</v>
      </c>
    </row>
    <row r="316" spans="1:38" s="109" customFormat="1" ht="13.5" x14ac:dyDescent="0.25">
      <c r="A316" s="181">
        <v>20</v>
      </c>
      <c r="B316" s="122" t="s">
        <v>169</v>
      </c>
      <c r="C316" s="122" t="s">
        <v>170</v>
      </c>
      <c r="D316" s="122">
        <v>1</v>
      </c>
      <c r="E316" s="123">
        <f>35+683.85</f>
        <v>718.85</v>
      </c>
      <c r="F316" s="123">
        <f>1628+E316</f>
        <v>2346.85</v>
      </c>
      <c r="G316" s="123">
        <f>100+E316</f>
        <v>818.85</v>
      </c>
      <c r="H316" s="118">
        <v>131</v>
      </c>
      <c r="I316" s="118">
        <v>666</v>
      </c>
      <c r="J316" s="118">
        <v>731</v>
      </c>
      <c r="K316" s="123">
        <f t="shared" si="54"/>
        <v>818.85</v>
      </c>
      <c r="L316" s="124">
        <f t="shared" si="55"/>
        <v>65.5</v>
      </c>
      <c r="M316" s="124">
        <f t="shared" si="55"/>
        <v>333</v>
      </c>
      <c r="N316" s="124">
        <f t="shared" si="55"/>
        <v>365.5</v>
      </c>
      <c r="O316" s="124">
        <f t="shared" si="56"/>
        <v>1582.85</v>
      </c>
      <c r="P316" s="124">
        <f t="shared" si="57"/>
        <v>65.5</v>
      </c>
      <c r="Q316" s="124">
        <f t="shared" si="57"/>
        <v>333</v>
      </c>
      <c r="R316" s="124">
        <f t="shared" si="57"/>
        <v>365.5</v>
      </c>
      <c r="S316" s="118">
        <f t="shared" si="58"/>
        <v>764</v>
      </c>
      <c r="T316" s="123" t="e">
        <f>'[1]убор.пл. ф-8 сост. 01.01.11 г.'!O327+'[1]убор.пл. ф-8 сост. 01.01.11 г.'!P327+'[1]убор.пл. ф-8 сост. 01.01.11 г.'!Q327+'[1]убор.пл. ф-8 сост. 01.01.11 г.'!R327+'[1]убор.пл. ф-8 сост. 01.01.11 г.'!U327+'[1]убор.пл. ф-8 сост. 01.01.11 г.'!V327+'[1]убор.пл. ф-8 сост. 01.01.11 г.'!X327+'[1]убор.пл. ф-8 сост. 01.01.11 г.'!Z327+'[1]убор.пл. ф-8 сост. 01.01.11 г.'!AA327+'[1]убор.пл. ф-8 сост. 01.01.11 г.'!AB327</f>
        <v>#REF!</v>
      </c>
      <c r="U316" s="123">
        <v>300</v>
      </c>
      <c r="V316" s="118">
        <v>409</v>
      </c>
      <c r="W316" s="123" t="e">
        <f>'[1]убор.пл. ф-8 сост. 01.01.11 г.'!S327+'[1]убор.пл. ф-8 сост. 01.01.11 г.'!W327+'[1]убор.пл. ф-8 сост. 01.01.11 г.'!AC327+'[1]убор.пл. ф-8 сост. 01.01.11 г.'!AD327</f>
        <v>#REF!</v>
      </c>
      <c r="X316" s="123">
        <v>2500</v>
      </c>
      <c r="Y316" s="123">
        <f>5889-E316</f>
        <v>5170.1499999999996</v>
      </c>
      <c r="Z316" s="118"/>
      <c r="AA316" s="238"/>
      <c r="AB316" s="118">
        <v>7926</v>
      </c>
      <c r="AC316" s="118"/>
      <c r="AD316" s="118">
        <f t="shared" si="59"/>
        <v>1582.85</v>
      </c>
      <c r="AE316" s="118"/>
      <c r="AF316" s="118" t="e">
        <f>#REF!-AE316</f>
        <v>#REF!</v>
      </c>
      <c r="AG316" s="118"/>
      <c r="AH316" s="118" t="e">
        <f>#REF!-AG316</f>
        <v>#REF!</v>
      </c>
      <c r="AI316" s="128"/>
      <c r="AJ316" s="118"/>
      <c r="AK316" s="120" t="e">
        <f t="shared" si="53"/>
        <v>#REF!</v>
      </c>
      <c r="AL316" s="109">
        <f>AB316+AB317+AB318</f>
        <v>14729</v>
      </c>
    </row>
    <row r="317" spans="1:38" s="109" customFormat="1" ht="13.5" x14ac:dyDescent="0.25">
      <c r="A317" s="181">
        <v>21</v>
      </c>
      <c r="B317" s="122" t="s">
        <v>169</v>
      </c>
      <c r="C317" s="122" t="s">
        <v>171</v>
      </c>
      <c r="D317" s="122">
        <v>2</v>
      </c>
      <c r="E317" s="123"/>
      <c r="F317" s="123">
        <v>587</v>
      </c>
      <c r="G317" s="123">
        <v>101</v>
      </c>
      <c r="H317" s="118">
        <v>103</v>
      </c>
      <c r="I317" s="118">
        <v>92</v>
      </c>
      <c r="J317" s="118">
        <v>291</v>
      </c>
      <c r="K317" s="123">
        <f t="shared" si="54"/>
        <v>101</v>
      </c>
      <c r="L317" s="124">
        <f t="shared" si="55"/>
        <v>51.5</v>
      </c>
      <c r="M317" s="124">
        <f t="shared" si="55"/>
        <v>46</v>
      </c>
      <c r="N317" s="124">
        <f t="shared" si="55"/>
        <v>145.5</v>
      </c>
      <c r="O317" s="124">
        <f t="shared" si="56"/>
        <v>344</v>
      </c>
      <c r="P317" s="124">
        <f t="shared" si="57"/>
        <v>51.5</v>
      </c>
      <c r="Q317" s="124">
        <f t="shared" si="57"/>
        <v>46</v>
      </c>
      <c r="R317" s="124">
        <f t="shared" si="57"/>
        <v>145.5</v>
      </c>
      <c r="S317" s="118">
        <f t="shared" si="58"/>
        <v>243</v>
      </c>
      <c r="T317" s="123" t="e">
        <f>'[1]убор.пл. ф-8 сост. 01.01.11 г.'!O328+'[1]убор.пл. ф-8 сост. 01.01.11 г.'!P328+'[1]убор.пл. ф-8 сост. 01.01.11 г.'!Q328+'[1]убор.пл. ф-8 сост. 01.01.11 г.'!R328+'[1]убор.пл. ф-8 сост. 01.01.11 г.'!U328+'[1]убор.пл. ф-8 сост. 01.01.11 г.'!V328+'[1]убор.пл. ф-8 сост. 01.01.11 г.'!X328+'[1]убор.пл. ф-8 сост. 01.01.11 г.'!Z328+'[1]убор.пл. ф-8 сост. 01.01.11 г.'!AA328+'[1]убор.пл. ф-8 сост. 01.01.11 г.'!AB328</f>
        <v>#REF!</v>
      </c>
      <c r="U317" s="123"/>
      <c r="V317" s="118">
        <v>175</v>
      </c>
      <c r="W317" s="123" t="e">
        <f>'[1]убор.пл. ф-8 сост. 01.01.11 г.'!S328+'[1]убор.пл. ф-8 сост. 01.01.11 г.'!W328+'[1]убор.пл. ф-8 сост. 01.01.11 г.'!AC328+'[1]убор.пл. ф-8 сост. 01.01.11 г.'!AD328</f>
        <v>#REF!</v>
      </c>
      <c r="X317" s="123"/>
      <c r="Y317" s="123">
        <v>2968</v>
      </c>
      <c r="Z317" s="118"/>
      <c r="AA317" s="238"/>
      <c r="AB317" s="118">
        <v>3730</v>
      </c>
      <c r="AC317" s="118"/>
      <c r="AD317" s="118">
        <f t="shared" si="59"/>
        <v>344</v>
      </c>
      <c r="AE317" s="118"/>
      <c r="AF317" s="118" t="e">
        <f>#REF!-AE317</f>
        <v>#REF!</v>
      </c>
      <c r="AG317" s="128"/>
      <c r="AH317" s="118" t="e">
        <f>#REF!-AG317</f>
        <v>#REF!</v>
      </c>
      <c r="AI317" s="128"/>
      <c r="AJ317" s="118"/>
      <c r="AK317" s="120" t="e">
        <f t="shared" si="53"/>
        <v>#REF!</v>
      </c>
    </row>
    <row r="318" spans="1:38" s="109" customFormat="1" ht="13.5" x14ac:dyDescent="0.25">
      <c r="A318" s="181">
        <v>22</v>
      </c>
      <c r="B318" s="122" t="s">
        <v>169</v>
      </c>
      <c r="C318" s="122" t="s">
        <v>170</v>
      </c>
      <c r="D318" s="122">
        <v>3</v>
      </c>
      <c r="E318" s="123"/>
      <c r="F318" s="123">
        <v>2216</v>
      </c>
      <c r="G318" s="123">
        <v>38</v>
      </c>
      <c r="H318" s="118">
        <v>30</v>
      </c>
      <c r="I318" s="118">
        <v>551</v>
      </c>
      <c r="J318" s="118">
        <v>1597</v>
      </c>
      <c r="K318" s="123">
        <f t="shared" si="54"/>
        <v>38</v>
      </c>
      <c r="L318" s="124">
        <f t="shared" si="55"/>
        <v>15</v>
      </c>
      <c r="M318" s="124">
        <f t="shared" si="55"/>
        <v>275.5</v>
      </c>
      <c r="N318" s="124">
        <f t="shared" si="55"/>
        <v>798.5</v>
      </c>
      <c r="O318" s="124">
        <f t="shared" si="56"/>
        <v>1127</v>
      </c>
      <c r="P318" s="124">
        <f t="shared" si="57"/>
        <v>15</v>
      </c>
      <c r="Q318" s="124">
        <f t="shared" si="57"/>
        <v>275.5</v>
      </c>
      <c r="R318" s="124">
        <f t="shared" si="57"/>
        <v>798.5</v>
      </c>
      <c r="S318" s="118">
        <f t="shared" si="58"/>
        <v>1089</v>
      </c>
      <c r="T318" s="123">
        <v>0</v>
      </c>
      <c r="U318" s="123"/>
      <c r="V318" s="118"/>
      <c r="W318" s="123" t="e">
        <f>'[1]убор.пл. ф-8 сост. 01.01.11 г.'!S329+'[1]убор.пл. ф-8 сост. 01.01.11 г.'!W329+'[1]убор.пл. ф-8 сост. 01.01.11 г.'!AC329+'[1]убор.пл. ф-8 сост. 01.01.11 г.'!AD329</f>
        <v>#REF!</v>
      </c>
      <c r="X318" s="123"/>
      <c r="Y318" s="123">
        <v>857</v>
      </c>
      <c r="Z318" s="118"/>
      <c r="AA318" s="123">
        <v>15</v>
      </c>
      <c r="AB318" s="118">
        <v>3073</v>
      </c>
      <c r="AC318" s="118"/>
      <c r="AD318" s="118">
        <f t="shared" si="59"/>
        <v>1127</v>
      </c>
      <c r="AE318" s="118"/>
      <c r="AF318" s="118" t="e">
        <f>#REF!-AE318</f>
        <v>#REF!</v>
      </c>
      <c r="AG318" s="128"/>
      <c r="AH318" s="118" t="e">
        <f>#REF!-AG318</f>
        <v>#REF!</v>
      </c>
      <c r="AI318" s="118">
        <v>15</v>
      </c>
      <c r="AJ318" s="128"/>
      <c r="AK318" s="120" t="e">
        <f t="shared" si="53"/>
        <v>#REF!</v>
      </c>
    </row>
    <row r="319" spans="1:38" s="109" customFormat="1" ht="13.5" x14ac:dyDescent="0.25">
      <c r="A319" s="181">
        <v>23</v>
      </c>
      <c r="B319" s="122" t="s">
        <v>169</v>
      </c>
      <c r="C319" s="122">
        <v>4</v>
      </c>
      <c r="D319" s="122"/>
      <c r="E319" s="123"/>
      <c r="F319" s="123">
        <v>860</v>
      </c>
      <c r="G319" s="123">
        <v>214</v>
      </c>
      <c r="H319" s="118">
        <v>112</v>
      </c>
      <c r="I319" s="118">
        <v>222</v>
      </c>
      <c r="J319" s="118">
        <v>312</v>
      </c>
      <c r="K319" s="123">
        <f t="shared" si="54"/>
        <v>214</v>
      </c>
      <c r="L319" s="124">
        <f t="shared" si="55"/>
        <v>56</v>
      </c>
      <c r="M319" s="124">
        <f t="shared" si="55"/>
        <v>111</v>
      </c>
      <c r="N319" s="124">
        <f t="shared" si="55"/>
        <v>156</v>
      </c>
      <c r="O319" s="124">
        <f t="shared" si="56"/>
        <v>537</v>
      </c>
      <c r="P319" s="124">
        <f t="shared" si="57"/>
        <v>56</v>
      </c>
      <c r="Q319" s="124">
        <f t="shared" si="57"/>
        <v>111</v>
      </c>
      <c r="R319" s="124">
        <f t="shared" si="57"/>
        <v>156</v>
      </c>
      <c r="S319" s="118">
        <f t="shared" si="58"/>
        <v>323</v>
      </c>
      <c r="T319" s="123" t="e">
        <f>'[1]убор.пл. ф-8 сост. 01.01.11 г.'!O330+'[1]убор.пл. ф-8 сост. 01.01.11 г.'!P330+'[1]убор.пл. ф-8 сост. 01.01.11 г.'!Q330+'[1]убор.пл. ф-8 сост. 01.01.11 г.'!R330+'[1]убор.пл. ф-8 сост. 01.01.11 г.'!U330+'[1]убор.пл. ф-8 сост. 01.01.11 г.'!V330+'[1]убор.пл. ф-8 сост. 01.01.11 г.'!X330+'[1]убор.пл. ф-8 сост. 01.01.11 г.'!Z330+'[1]убор.пл. ф-8 сост. 01.01.11 г.'!AA330+'[1]убор.пл. ф-8 сост. 01.01.11 г.'!AB330</f>
        <v>#REF!</v>
      </c>
      <c r="U319" s="123"/>
      <c r="V319" s="118">
        <v>423</v>
      </c>
      <c r="W319" s="123" t="e">
        <f>'[1]убор.пл. ф-8 сост. 01.01.11 г.'!S330+'[1]убор.пл. ф-8 сост. 01.01.11 г.'!W330+'[1]убор.пл. ф-8 сост. 01.01.11 г.'!AC330+'[1]убор.пл. ф-8 сост. 01.01.11 г.'!AD330</f>
        <v>#REF!</v>
      </c>
      <c r="X319" s="123"/>
      <c r="Y319" s="123">
        <v>1790</v>
      </c>
      <c r="Z319" s="118"/>
      <c r="AA319" s="123">
        <v>5</v>
      </c>
      <c r="AB319" s="118">
        <v>3073</v>
      </c>
      <c r="AC319" s="118"/>
      <c r="AD319" s="118">
        <f t="shared" si="59"/>
        <v>537</v>
      </c>
      <c r="AE319" s="118"/>
      <c r="AF319" s="118" t="e">
        <f>#REF!-AE319</f>
        <v>#REF!</v>
      </c>
      <c r="AG319" s="118"/>
      <c r="AH319" s="118" t="e">
        <f>#REF!-AG319</f>
        <v>#REF!</v>
      </c>
      <c r="AI319" s="118">
        <v>5</v>
      </c>
      <c r="AJ319" s="128"/>
      <c r="AK319" s="120" t="e">
        <f t="shared" si="53"/>
        <v>#REF!</v>
      </c>
    </row>
    <row r="320" spans="1:38" s="109" customFormat="1" ht="13.5" x14ac:dyDescent="0.25">
      <c r="A320" s="181">
        <v>24</v>
      </c>
      <c r="B320" s="122" t="s">
        <v>169</v>
      </c>
      <c r="C320" s="122">
        <v>6</v>
      </c>
      <c r="D320" s="122"/>
      <c r="E320" s="123"/>
      <c r="F320" s="123">
        <v>2823</v>
      </c>
      <c r="G320" s="123">
        <v>576</v>
      </c>
      <c r="H320" s="118">
        <v>591</v>
      </c>
      <c r="I320" s="118">
        <v>269</v>
      </c>
      <c r="J320" s="118">
        <v>1387</v>
      </c>
      <c r="K320" s="123">
        <f t="shared" si="54"/>
        <v>576</v>
      </c>
      <c r="L320" s="124">
        <f t="shared" si="55"/>
        <v>295.5</v>
      </c>
      <c r="M320" s="124">
        <f t="shared" si="55"/>
        <v>134.5</v>
      </c>
      <c r="N320" s="124">
        <f t="shared" si="55"/>
        <v>693.5</v>
      </c>
      <c r="O320" s="124">
        <f t="shared" si="56"/>
        <v>1699.5</v>
      </c>
      <c r="P320" s="124">
        <f t="shared" si="57"/>
        <v>295.5</v>
      </c>
      <c r="Q320" s="124">
        <f t="shared" si="57"/>
        <v>134.5</v>
      </c>
      <c r="R320" s="124">
        <f t="shared" si="57"/>
        <v>693.5</v>
      </c>
      <c r="S320" s="118">
        <f t="shared" si="58"/>
        <v>1123.5</v>
      </c>
      <c r="T320" s="123" t="e">
        <f>'[1]убор.пл. ф-8 сост. 01.01.11 г.'!O331+'[1]убор.пл. ф-8 сост. 01.01.11 г.'!P331+'[1]убор.пл. ф-8 сост. 01.01.11 г.'!Q331+'[1]убор.пл. ф-8 сост. 01.01.11 г.'!R331+'[1]убор.пл. ф-8 сост. 01.01.11 г.'!U331+'[1]убор.пл. ф-8 сост. 01.01.11 г.'!V331+'[1]убор.пл. ф-8 сост. 01.01.11 г.'!X331+'[1]убор.пл. ф-8 сост. 01.01.11 г.'!Z331+'[1]убор.пл. ф-8 сост. 01.01.11 г.'!AA331+'[1]убор.пл. ф-8 сост. 01.01.11 г.'!AB331</f>
        <v>#REF!</v>
      </c>
      <c r="U320" s="123"/>
      <c r="V320" s="118">
        <v>220</v>
      </c>
      <c r="W320" s="123" t="e">
        <f>'[1]убор.пл. ф-8 сост. 01.01.11 г.'!S331+'[1]убор.пл. ф-8 сост. 01.01.11 г.'!W331+'[1]убор.пл. ф-8 сост. 01.01.11 г.'!AC331+'[1]убор.пл. ф-8 сост. 01.01.11 г.'!AD331</f>
        <v>#REF!</v>
      </c>
      <c r="X320" s="123"/>
      <c r="Y320" s="123">
        <v>6156</v>
      </c>
      <c r="Z320" s="118"/>
      <c r="AA320" s="123">
        <v>6</v>
      </c>
      <c r="AB320" s="118">
        <v>9199</v>
      </c>
      <c r="AC320" s="118"/>
      <c r="AD320" s="118">
        <f t="shared" si="59"/>
        <v>1699.5</v>
      </c>
      <c r="AE320" s="118"/>
      <c r="AF320" s="118" t="e">
        <f>#REF!-AE320</f>
        <v>#REF!</v>
      </c>
      <c r="AG320" s="118"/>
      <c r="AH320" s="118" t="e">
        <f>#REF!-AG320</f>
        <v>#REF!</v>
      </c>
      <c r="AI320" s="118">
        <v>6</v>
      </c>
      <c r="AJ320" s="128"/>
      <c r="AK320" s="120" t="e">
        <f t="shared" si="53"/>
        <v>#REF!</v>
      </c>
    </row>
    <row r="321" spans="1:37" s="109" customFormat="1" ht="13.5" x14ac:dyDescent="0.25">
      <c r="A321" s="181">
        <v>25</v>
      </c>
      <c r="B321" s="122" t="s">
        <v>169</v>
      </c>
      <c r="C321" s="122">
        <v>8</v>
      </c>
      <c r="D321" s="122"/>
      <c r="E321" s="123"/>
      <c r="F321" s="123">
        <v>2041</v>
      </c>
      <c r="G321" s="123">
        <v>210</v>
      </c>
      <c r="H321" s="118">
        <v>64</v>
      </c>
      <c r="I321" s="118">
        <v>1077</v>
      </c>
      <c r="J321" s="118">
        <v>690</v>
      </c>
      <c r="K321" s="123">
        <f t="shared" si="54"/>
        <v>210</v>
      </c>
      <c r="L321" s="124">
        <f t="shared" si="55"/>
        <v>32</v>
      </c>
      <c r="M321" s="124">
        <f t="shared" si="55"/>
        <v>538.5</v>
      </c>
      <c r="N321" s="124">
        <f t="shared" si="55"/>
        <v>345</v>
      </c>
      <c r="O321" s="124">
        <f t="shared" si="56"/>
        <v>1125.5</v>
      </c>
      <c r="P321" s="124">
        <f t="shared" si="57"/>
        <v>32</v>
      </c>
      <c r="Q321" s="124">
        <f t="shared" si="57"/>
        <v>538.5</v>
      </c>
      <c r="R321" s="124">
        <f t="shared" si="57"/>
        <v>345</v>
      </c>
      <c r="S321" s="118">
        <f t="shared" si="58"/>
        <v>915.5</v>
      </c>
      <c r="T321" s="123" t="e">
        <f>'[1]убор.пл. ф-8 сост. 01.01.11 г.'!O332+'[1]убор.пл. ф-8 сост. 01.01.11 г.'!P332+'[1]убор.пл. ф-8 сост. 01.01.11 г.'!Q332+'[1]убор.пл. ф-8 сост. 01.01.11 г.'!R332+'[1]убор.пл. ф-8 сост. 01.01.11 г.'!U332+'[1]убор.пл. ф-8 сост. 01.01.11 г.'!V332+'[1]убор.пл. ф-8 сост. 01.01.11 г.'!X332+'[1]убор.пл. ф-8 сост. 01.01.11 г.'!Z332+'[1]убор.пл. ф-8 сост. 01.01.11 г.'!AA332+'[1]убор.пл. ф-8 сост. 01.01.11 г.'!AB332</f>
        <v>#REF!</v>
      </c>
      <c r="U321" s="123"/>
      <c r="V321" s="118">
        <v>112</v>
      </c>
      <c r="W321" s="123" t="e">
        <f>'[1]убор.пл. ф-8 сост. 01.01.11 г.'!S332+'[1]убор.пл. ф-8 сост. 01.01.11 г.'!W332+'[1]убор.пл. ф-8 сост. 01.01.11 г.'!AC332+'[1]убор.пл. ф-8 сост. 01.01.11 г.'!AD332</f>
        <v>#REF!</v>
      </c>
      <c r="X321" s="123"/>
      <c r="Y321" s="123">
        <v>2301</v>
      </c>
      <c r="Z321" s="118"/>
      <c r="AA321" s="123">
        <v>8</v>
      </c>
      <c r="AB321" s="118">
        <v>4454</v>
      </c>
      <c r="AC321" s="118"/>
      <c r="AD321" s="118">
        <f t="shared" si="59"/>
        <v>1125.5</v>
      </c>
      <c r="AE321" s="118"/>
      <c r="AF321" s="118" t="e">
        <f>#REF!-AE321</f>
        <v>#REF!</v>
      </c>
      <c r="AG321" s="118">
        <v>6</v>
      </c>
      <c r="AH321" s="118" t="e">
        <f>#REF!-AG321</f>
        <v>#REF!</v>
      </c>
      <c r="AI321" s="118">
        <v>8</v>
      </c>
      <c r="AJ321" s="118"/>
      <c r="AK321" s="120" t="e">
        <f t="shared" si="53"/>
        <v>#REF!</v>
      </c>
    </row>
    <row r="322" spans="1:37" s="109" customFormat="1" ht="13.5" x14ac:dyDescent="0.25">
      <c r="A322" s="181">
        <v>26</v>
      </c>
      <c r="B322" s="241" t="s">
        <v>169</v>
      </c>
      <c r="C322" s="241">
        <v>10</v>
      </c>
      <c r="D322" s="241"/>
      <c r="E322" s="123"/>
      <c r="F322" s="123">
        <v>1381</v>
      </c>
      <c r="G322" s="123">
        <v>421</v>
      </c>
      <c r="H322" s="118">
        <v>133</v>
      </c>
      <c r="I322" s="118">
        <v>395</v>
      </c>
      <c r="J322" s="118">
        <v>432</v>
      </c>
      <c r="K322" s="123">
        <f t="shared" si="54"/>
        <v>421</v>
      </c>
      <c r="L322" s="124">
        <f t="shared" si="55"/>
        <v>66.5</v>
      </c>
      <c r="M322" s="124">
        <f t="shared" si="55"/>
        <v>197.5</v>
      </c>
      <c r="N322" s="124">
        <f t="shared" si="55"/>
        <v>216</v>
      </c>
      <c r="O322" s="124">
        <f t="shared" si="56"/>
        <v>901</v>
      </c>
      <c r="P322" s="124">
        <f t="shared" si="57"/>
        <v>66.5</v>
      </c>
      <c r="Q322" s="124">
        <f t="shared" si="57"/>
        <v>197.5</v>
      </c>
      <c r="R322" s="124">
        <f t="shared" si="57"/>
        <v>216</v>
      </c>
      <c r="S322" s="118">
        <f t="shared" si="58"/>
        <v>480</v>
      </c>
      <c r="T322" s="123" t="e">
        <f>'[1]убор.пл. ф-8 сост. 01.01.11 г.'!O333+'[1]убор.пл. ф-8 сост. 01.01.11 г.'!P333+'[1]убор.пл. ф-8 сост. 01.01.11 г.'!Q333+'[1]убор.пл. ф-8 сост. 01.01.11 г.'!R333+'[1]убор.пл. ф-8 сост. 01.01.11 г.'!U333+'[1]убор.пл. ф-8 сост. 01.01.11 г.'!V333+'[1]убор.пл. ф-8 сост. 01.01.11 г.'!X333+'[1]убор.пл. ф-8 сост. 01.01.11 г.'!Z333+'[1]убор.пл. ф-8 сост. 01.01.11 г.'!AA333+'[1]убор.пл. ф-8 сост. 01.01.11 г.'!AB333</f>
        <v>#REF!</v>
      </c>
      <c r="U322" s="123"/>
      <c r="V322" s="118">
        <v>117</v>
      </c>
      <c r="W322" s="123" t="e">
        <f>'[1]убор.пл. ф-8 сост. 01.01.11 г.'!S333+'[1]убор.пл. ф-8 сост. 01.01.11 г.'!W333+'[1]убор.пл. ф-8 сост. 01.01.11 г.'!AC333+'[1]убор.пл. ф-8 сост. 01.01.11 г.'!AD333</f>
        <v>#REF!</v>
      </c>
      <c r="X322" s="123"/>
      <c r="Y322" s="123">
        <v>2839</v>
      </c>
      <c r="Z322" s="118"/>
      <c r="AA322" s="238"/>
      <c r="AB322" s="118">
        <v>4337</v>
      </c>
      <c r="AC322" s="118">
        <v>24</v>
      </c>
      <c r="AD322" s="118">
        <f t="shared" si="59"/>
        <v>877</v>
      </c>
      <c r="AE322" s="118"/>
      <c r="AF322" s="118" t="e">
        <f>#REF!-AE322</f>
        <v>#REF!</v>
      </c>
      <c r="AG322" s="118"/>
      <c r="AH322" s="118" t="e">
        <f>#REF!-AG322</f>
        <v>#REF!</v>
      </c>
      <c r="AI322" s="128"/>
      <c r="AJ322" s="118"/>
      <c r="AK322" s="120" t="e">
        <f t="shared" si="53"/>
        <v>#REF!</v>
      </c>
    </row>
    <row r="323" spans="1:37" s="109" customFormat="1" ht="13.5" x14ac:dyDescent="0.25">
      <c r="A323" s="181">
        <v>27</v>
      </c>
      <c r="B323" s="241" t="s">
        <v>169</v>
      </c>
      <c r="C323" s="241">
        <v>11</v>
      </c>
      <c r="D323" s="241"/>
      <c r="E323" s="123"/>
      <c r="F323" s="123">
        <v>2313</v>
      </c>
      <c r="G323" s="123">
        <v>321</v>
      </c>
      <c r="H323" s="118">
        <v>488</v>
      </c>
      <c r="I323" s="118">
        <v>690</v>
      </c>
      <c r="J323" s="118">
        <v>814</v>
      </c>
      <c r="K323" s="123">
        <f t="shared" si="54"/>
        <v>321</v>
      </c>
      <c r="L323" s="124">
        <f t="shared" si="55"/>
        <v>244</v>
      </c>
      <c r="M323" s="124">
        <f t="shared" si="55"/>
        <v>345</v>
      </c>
      <c r="N323" s="124">
        <f t="shared" si="55"/>
        <v>407</v>
      </c>
      <c r="O323" s="124">
        <f t="shared" si="56"/>
        <v>1317</v>
      </c>
      <c r="P323" s="124">
        <f t="shared" si="57"/>
        <v>244</v>
      </c>
      <c r="Q323" s="124">
        <f t="shared" si="57"/>
        <v>345</v>
      </c>
      <c r="R323" s="124">
        <f t="shared" si="57"/>
        <v>407</v>
      </c>
      <c r="S323" s="118">
        <f t="shared" si="58"/>
        <v>996</v>
      </c>
      <c r="T323" s="123" t="e">
        <f>'[1]убор.пл. ф-8 сост. 01.01.11 г.'!O334+'[1]убор.пл. ф-8 сост. 01.01.11 г.'!P334+'[1]убор.пл. ф-8 сост. 01.01.11 г.'!Q334+'[1]убор.пл. ф-8 сост. 01.01.11 г.'!R334+'[1]убор.пл. ф-8 сост. 01.01.11 г.'!U334+'[1]убор.пл. ф-8 сост. 01.01.11 г.'!V334+'[1]убор.пл. ф-8 сост. 01.01.11 г.'!X334+'[1]убор.пл. ф-8 сост. 01.01.11 г.'!Z334+'[1]убор.пл. ф-8 сост. 01.01.11 г.'!AA334+'[1]убор.пл. ф-8 сост. 01.01.11 г.'!AB334</f>
        <v>#REF!</v>
      </c>
      <c r="U323" s="123"/>
      <c r="V323" s="118"/>
      <c r="W323" s="123" t="e">
        <f>'[1]убор.пл. ф-8 сост. 01.01.11 г.'!S334+'[1]убор.пл. ф-8 сост. 01.01.11 г.'!W334+'[1]убор.пл. ф-8 сост. 01.01.11 г.'!AC334+'[1]убор.пл. ф-8 сост. 01.01.11 г.'!AD334</f>
        <v>#REF!</v>
      </c>
      <c r="X323" s="123"/>
      <c r="Y323" s="123">
        <v>8737</v>
      </c>
      <c r="Z323" s="118"/>
      <c r="AA323" s="238"/>
      <c r="AB323" s="118">
        <v>11050</v>
      </c>
      <c r="AC323" s="118">
        <v>18</v>
      </c>
      <c r="AD323" s="118">
        <f t="shared" si="59"/>
        <v>1299</v>
      </c>
      <c r="AE323" s="118"/>
      <c r="AF323" s="118" t="e">
        <f>#REF!-AE323</f>
        <v>#REF!</v>
      </c>
      <c r="AG323" s="128"/>
      <c r="AH323" s="118" t="e">
        <f>#REF!-AG323</f>
        <v>#REF!</v>
      </c>
      <c r="AI323" s="128"/>
      <c r="AJ323" s="128"/>
      <c r="AK323" s="120" t="e">
        <f t="shared" si="53"/>
        <v>#REF!</v>
      </c>
    </row>
    <row r="324" spans="1:37" s="109" customFormat="1" ht="13.5" x14ac:dyDescent="0.25">
      <c r="A324" s="181">
        <v>28</v>
      </c>
      <c r="B324" s="122" t="s">
        <v>169</v>
      </c>
      <c r="C324" s="122">
        <v>12</v>
      </c>
      <c r="D324" s="122"/>
      <c r="E324" s="123"/>
      <c r="F324" s="123">
        <v>1032</v>
      </c>
      <c r="G324" s="123">
        <v>153</v>
      </c>
      <c r="H324" s="118">
        <v>184</v>
      </c>
      <c r="I324" s="118">
        <v>494</v>
      </c>
      <c r="J324" s="118">
        <v>201</v>
      </c>
      <c r="K324" s="123">
        <f t="shared" si="54"/>
        <v>153</v>
      </c>
      <c r="L324" s="124">
        <f t="shared" si="55"/>
        <v>92</v>
      </c>
      <c r="M324" s="124">
        <f t="shared" si="55"/>
        <v>247</v>
      </c>
      <c r="N324" s="124">
        <f t="shared" si="55"/>
        <v>100.5</v>
      </c>
      <c r="O324" s="124">
        <f t="shared" si="56"/>
        <v>592.5</v>
      </c>
      <c r="P324" s="124">
        <f t="shared" si="57"/>
        <v>92</v>
      </c>
      <c r="Q324" s="124">
        <f t="shared" si="57"/>
        <v>247</v>
      </c>
      <c r="R324" s="124">
        <f t="shared" si="57"/>
        <v>100.5</v>
      </c>
      <c r="S324" s="118">
        <f t="shared" si="58"/>
        <v>439.5</v>
      </c>
      <c r="T324" s="123" t="e">
        <f>'[1]убор.пл. ф-8 сост. 01.01.11 г.'!O335+'[1]убор.пл. ф-8 сост. 01.01.11 г.'!P335+'[1]убор.пл. ф-8 сост. 01.01.11 г.'!Q335+'[1]убор.пл. ф-8 сост. 01.01.11 г.'!R335+'[1]убор.пл. ф-8 сост. 01.01.11 г.'!U335+'[1]убор.пл. ф-8 сост. 01.01.11 г.'!V335+'[1]убор.пл. ф-8 сост. 01.01.11 г.'!X335+'[1]убор.пл. ф-8 сост. 01.01.11 г.'!Z335+'[1]убор.пл. ф-8 сост. 01.01.11 г.'!AA335+'[1]убор.пл. ф-8 сост. 01.01.11 г.'!AB335</f>
        <v>#REF!</v>
      </c>
      <c r="U324" s="123"/>
      <c r="V324" s="118">
        <v>112</v>
      </c>
      <c r="W324" s="123" t="e">
        <f>'[1]убор.пл. ф-8 сост. 01.01.11 г.'!S335+'[1]убор.пл. ф-8 сост. 01.01.11 г.'!W335+'[1]убор.пл. ф-8 сост. 01.01.11 г.'!AC335+'[1]убор.пл. ф-8 сост. 01.01.11 г.'!AD335</f>
        <v>#REF!</v>
      </c>
      <c r="X324" s="123"/>
      <c r="Y324" s="123">
        <v>1928</v>
      </c>
      <c r="Z324" s="118"/>
      <c r="AA324" s="238"/>
      <c r="AB324" s="118">
        <v>3072</v>
      </c>
      <c r="AC324" s="118"/>
      <c r="AD324" s="118">
        <f t="shared" si="59"/>
        <v>592.5</v>
      </c>
      <c r="AE324" s="118"/>
      <c r="AF324" s="118" t="e">
        <f>#REF!-AE324</f>
        <v>#REF!</v>
      </c>
      <c r="AG324" s="128"/>
      <c r="AH324" s="118" t="e">
        <f>#REF!-AG324</f>
        <v>#REF!</v>
      </c>
      <c r="AI324" s="128"/>
      <c r="AJ324" s="128"/>
      <c r="AK324" s="120" t="e">
        <f t="shared" si="53"/>
        <v>#REF!</v>
      </c>
    </row>
    <row r="325" spans="1:37" s="109" customFormat="1" ht="13.5" x14ac:dyDescent="0.25">
      <c r="A325" s="181">
        <v>29</v>
      </c>
      <c r="B325" s="122" t="s">
        <v>169</v>
      </c>
      <c r="C325" s="122">
        <v>13</v>
      </c>
      <c r="D325" s="122"/>
      <c r="E325" s="123">
        <f>478.42</f>
        <v>478.42</v>
      </c>
      <c r="F325" s="123">
        <f>2198+E325</f>
        <v>2676.42</v>
      </c>
      <c r="G325" s="123">
        <f>529+E325</f>
        <v>1007.4200000000001</v>
      </c>
      <c r="H325" s="118">
        <v>509</v>
      </c>
      <c r="I325" s="118">
        <v>748</v>
      </c>
      <c r="J325" s="118">
        <v>412</v>
      </c>
      <c r="K325" s="123">
        <f t="shared" si="54"/>
        <v>1007.4200000000001</v>
      </c>
      <c r="L325" s="124">
        <f t="shared" si="55"/>
        <v>254.5</v>
      </c>
      <c r="M325" s="124">
        <f t="shared" si="55"/>
        <v>374</v>
      </c>
      <c r="N325" s="124">
        <f t="shared" si="55"/>
        <v>206</v>
      </c>
      <c r="O325" s="124">
        <f t="shared" si="56"/>
        <v>1841.92</v>
      </c>
      <c r="P325" s="124">
        <f t="shared" si="57"/>
        <v>254.5</v>
      </c>
      <c r="Q325" s="124">
        <f t="shared" si="57"/>
        <v>374</v>
      </c>
      <c r="R325" s="124">
        <f t="shared" si="57"/>
        <v>206</v>
      </c>
      <c r="S325" s="118">
        <f t="shared" si="58"/>
        <v>834.5</v>
      </c>
      <c r="T325" s="123" t="e">
        <f>'[1]убор.пл. ф-8 сост. 01.01.11 г.'!O336+'[1]убор.пл. ф-8 сост. 01.01.11 г.'!P336+'[1]убор.пл. ф-8 сост. 01.01.11 г.'!Q336+'[1]убор.пл. ф-8 сост. 01.01.11 г.'!R336+'[1]убор.пл. ф-8 сост. 01.01.11 г.'!U336+'[1]убор.пл. ф-8 сост. 01.01.11 г.'!V336+'[1]убор.пл. ф-8 сост. 01.01.11 г.'!X336+'[1]убор.пл. ф-8 сост. 01.01.11 г.'!Z336+'[1]убор.пл. ф-8 сост. 01.01.11 г.'!AA336+'[1]убор.пл. ф-8 сост. 01.01.11 г.'!AB336</f>
        <v>#REF!</v>
      </c>
      <c r="U325" s="123"/>
      <c r="V325" s="118">
        <v>183</v>
      </c>
      <c r="W325" s="123" t="e">
        <f>'[1]убор.пл. ф-8 сост. 01.01.11 г.'!S336+'[1]убор.пл. ф-8 сост. 01.01.11 г.'!W336+'[1]убор.пл. ф-8 сост. 01.01.11 г.'!AC336+'[1]убор.пл. ф-8 сост. 01.01.11 г.'!AD336</f>
        <v>#REF!</v>
      </c>
      <c r="X325" s="123"/>
      <c r="Y325" s="123">
        <f>6718-E325</f>
        <v>6239.58</v>
      </c>
      <c r="Z325" s="118">
        <v>94</v>
      </c>
      <c r="AA325" s="238"/>
      <c r="AB325" s="118">
        <v>9193</v>
      </c>
      <c r="AC325" s="118">
        <v>6</v>
      </c>
      <c r="AD325" s="118">
        <f t="shared" si="59"/>
        <v>1835.92</v>
      </c>
      <c r="AE325" s="118"/>
      <c r="AF325" s="118" t="e">
        <f>#REF!-AE325</f>
        <v>#REF!</v>
      </c>
      <c r="AG325" s="118"/>
      <c r="AH325" s="118" t="e">
        <f>#REF!-AG325</f>
        <v>#REF!</v>
      </c>
      <c r="AI325" s="128"/>
      <c r="AJ325" s="118"/>
      <c r="AK325" s="120" t="e">
        <f t="shared" si="53"/>
        <v>#REF!</v>
      </c>
    </row>
    <row r="326" spans="1:37" s="109" customFormat="1" ht="13.5" x14ac:dyDescent="0.25">
      <c r="A326" s="181">
        <v>30</v>
      </c>
      <c r="B326" s="241" t="s">
        <v>169</v>
      </c>
      <c r="C326" s="241">
        <v>14</v>
      </c>
      <c r="D326" s="241"/>
      <c r="E326" s="123"/>
      <c r="F326" s="123">
        <v>853</v>
      </c>
      <c r="G326" s="123">
        <v>377</v>
      </c>
      <c r="H326" s="118">
        <v>140</v>
      </c>
      <c r="I326" s="118">
        <v>336</v>
      </c>
      <c r="J326" s="118"/>
      <c r="K326" s="123">
        <f t="shared" si="54"/>
        <v>377</v>
      </c>
      <c r="L326" s="124">
        <f t="shared" si="55"/>
        <v>70</v>
      </c>
      <c r="M326" s="124">
        <f t="shared" si="55"/>
        <v>168</v>
      </c>
      <c r="N326" s="124">
        <f t="shared" si="55"/>
        <v>0</v>
      </c>
      <c r="O326" s="124">
        <f t="shared" si="56"/>
        <v>615</v>
      </c>
      <c r="P326" s="124">
        <f t="shared" si="57"/>
        <v>70</v>
      </c>
      <c r="Q326" s="124">
        <f t="shared" si="57"/>
        <v>168</v>
      </c>
      <c r="R326" s="124">
        <f t="shared" si="57"/>
        <v>0</v>
      </c>
      <c r="S326" s="118">
        <f t="shared" si="58"/>
        <v>238</v>
      </c>
      <c r="T326" s="123">
        <f>48+295</f>
        <v>343</v>
      </c>
      <c r="U326" s="123"/>
      <c r="V326" s="118">
        <v>343</v>
      </c>
      <c r="W326" s="123" t="e">
        <f>'[1]убор.пл. ф-8 сост. 01.01.11 г.'!S337+'[1]убор.пл. ф-8 сост. 01.01.11 г.'!W337+'[1]убор.пл. ф-8 сост. 01.01.11 г.'!AC337+'[1]убор.пл. ф-8 сост. 01.01.11 г.'!AD337</f>
        <v>#REF!</v>
      </c>
      <c r="X326" s="123"/>
      <c r="Y326" s="123">
        <v>4971</v>
      </c>
      <c r="Z326" s="118"/>
      <c r="AA326" s="238"/>
      <c r="AB326" s="118">
        <v>6167</v>
      </c>
      <c r="AC326" s="118"/>
      <c r="AD326" s="118">
        <f t="shared" si="59"/>
        <v>615</v>
      </c>
      <c r="AE326" s="118"/>
      <c r="AF326" s="118" t="e">
        <f>#REF!-AE326</f>
        <v>#REF!</v>
      </c>
      <c r="AG326" s="118"/>
      <c r="AH326" s="118" t="e">
        <f>#REF!-AG326</f>
        <v>#REF!</v>
      </c>
      <c r="AI326" s="128"/>
      <c r="AJ326" s="118"/>
      <c r="AK326" s="120" t="e">
        <f t="shared" si="53"/>
        <v>#REF!</v>
      </c>
    </row>
    <row r="327" spans="1:37" s="109" customFormat="1" ht="13.5" x14ac:dyDescent="0.25">
      <c r="A327" s="181">
        <v>31</v>
      </c>
      <c r="B327" s="241" t="s">
        <v>169</v>
      </c>
      <c r="C327" s="241">
        <v>14</v>
      </c>
      <c r="D327" s="241">
        <v>2</v>
      </c>
      <c r="E327" s="123"/>
      <c r="F327" s="123">
        <v>2787</v>
      </c>
      <c r="G327" s="123">
        <v>321</v>
      </c>
      <c r="H327" s="118">
        <v>1298</v>
      </c>
      <c r="I327" s="118">
        <v>1168</v>
      </c>
      <c r="J327" s="118"/>
      <c r="K327" s="123">
        <f t="shared" si="54"/>
        <v>321</v>
      </c>
      <c r="L327" s="124">
        <f t="shared" si="55"/>
        <v>649</v>
      </c>
      <c r="M327" s="124">
        <f t="shared" si="55"/>
        <v>584</v>
      </c>
      <c r="N327" s="124">
        <f t="shared" si="55"/>
        <v>0</v>
      </c>
      <c r="O327" s="124">
        <f t="shared" si="56"/>
        <v>1554</v>
      </c>
      <c r="P327" s="124">
        <f t="shared" si="57"/>
        <v>649</v>
      </c>
      <c r="Q327" s="124">
        <f t="shared" si="57"/>
        <v>584</v>
      </c>
      <c r="R327" s="124">
        <f t="shared" si="57"/>
        <v>0</v>
      </c>
      <c r="S327" s="118">
        <f t="shared" si="58"/>
        <v>1233</v>
      </c>
      <c r="T327" s="123">
        <v>198</v>
      </c>
      <c r="U327" s="123"/>
      <c r="V327" s="118">
        <v>198</v>
      </c>
      <c r="W327" s="123">
        <f>64+819</f>
        <v>883</v>
      </c>
      <c r="X327" s="123"/>
      <c r="Y327" s="123">
        <v>883</v>
      </c>
      <c r="Z327" s="118">
        <v>10</v>
      </c>
      <c r="AA327" s="238"/>
      <c r="AB327" s="118">
        <v>3878</v>
      </c>
      <c r="AC327" s="118"/>
      <c r="AD327" s="118">
        <f t="shared" si="59"/>
        <v>1554</v>
      </c>
      <c r="AE327" s="118"/>
      <c r="AF327" s="118" t="e">
        <f>#REF!-AE327</f>
        <v>#REF!</v>
      </c>
      <c r="AG327" s="118"/>
      <c r="AH327" s="118" t="e">
        <f>#REF!-AG327</f>
        <v>#REF!</v>
      </c>
      <c r="AI327" s="128"/>
      <c r="AJ327" s="118"/>
      <c r="AK327" s="120">
        <f t="shared" si="53"/>
        <v>3868</v>
      </c>
    </row>
    <row r="328" spans="1:37" s="109" customFormat="1" ht="13.5" x14ac:dyDescent="0.25">
      <c r="A328" s="181">
        <v>32</v>
      </c>
      <c r="B328" s="122" t="s">
        <v>169</v>
      </c>
      <c r="C328" s="122">
        <v>15</v>
      </c>
      <c r="D328" s="122"/>
      <c r="E328" s="123">
        <f>642.25</f>
        <v>642.25</v>
      </c>
      <c r="F328" s="123">
        <f>1805+E328</f>
        <v>2447.25</v>
      </c>
      <c r="G328" s="123">
        <v>1261.25</v>
      </c>
      <c r="H328" s="118">
        <v>416</v>
      </c>
      <c r="I328" s="118">
        <v>39</v>
      </c>
      <c r="J328" s="118">
        <v>731</v>
      </c>
      <c r="K328" s="123">
        <f t="shared" si="54"/>
        <v>1261.25</v>
      </c>
      <c r="L328" s="124">
        <f t="shared" si="55"/>
        <v>208</v>
      </c>
      <c r="M328" s="124">
        <f t="shared" si="55"/>
        <v>19.5</v>
      </c>
      <c r="N328" s="124">
        <f t="shared" si="55"/>
        <v>365.5</v>
      </c>
      <c r="O328" s="124">
        <f t="shared" si="56"/>
        <v>1854.25</v>
      </c>
      <c r="P328" s="124">
        <f t="shared" si="57"/>
        <v>208</v>
      </c>
      <c r="Q328" s="124">
        <f t="shared" si="57"/>
        <v>19.5</v>
      </c>
      <c r="R328" s="124">
        <f t="shared" si="57"/>
        <v>365.5</v>
      </c>
      <c r="S328" s="118">
        <f t="shared" si="58"/>
        <v>593</v>
      </c>
      <c r="T328" s="123" t="e">
        <f>'[1]убор.пл. ф-8 сост. 01.01.11 г.'!O339+'[1]убор.пл. ф-8 сост. 01.01.11 г.'!P339+'[1]убор.пл. ф-8 сост. 01.01.11 г.'!Q339+'[1]убор.пл. ф-8 сост. 01.01.11 г.'!R339+'[1]убор.пл. ф-8 сост. 01.01.11 г.'!U339+'[1]убор.пл. ф-8 сост. 01.01.11 г.'!V339+'[1]убор.пл. ф-8 сост. 01.01.11 г.'!X339+'[1]убор.пл. ф-8 сост. 01.01.11 г.'!Z339+'[1]убор.пл. ф-8 сост. 01.01.11 г.'!AA339+'[1]убор.пл. ф-8 сост. 01.01.11 г.'!AB339</f>
        <v>#REF!</v>
      </c>
      <c r="U328" s="123"/>
      <c r="V328" s="118">
        <v>125</v>
      </c>
      <c r="W328" s="123" t="e">
        <f>'[1]убор.пл. ф-8 сост. 01.01.11 г.'!S339+'[1]убор.пл. ф-8 сост. 01.01.11 г.'!W339+'[1]убор.пл. ф-8 сост. 01.01.11 г.'!AC339+'[1]убор.пл. ф-8 сост. 01.01.11 г.'!AD339</f>
        <v>#REF!</v>
      </c>
      <c r="X328" s="123"/>
      <c r="Y328" s="123">
        <f>11022-E328</f>
        <v>10379.75</v>
      </c>
      <c r="Z328" s="118"/>
      <c r="AA328" s="123">
        <v>19</v>
      </c>
      <c r="AB328" s="118">
        <v>12952</v>
      </c>
      <c r="AC328" s="118"/>
      <c r="AD328" s="118">
        <f t="shared" si="59"/>
        <v>1854.25</v>
      </c>
      <c r="AE328" s="118"/>
      <c r="AF328" s="118" t="e">
        <f>#REF!-AE328</f>
        <v>#REF!</v>
      </c>
      <c r="AG328" s="128"/>
      <c r="AH328" s="118" t="e">
        <f>#REF!-AG328</f>
        <v>#REF!</v>
      </c>
      <c r="AI328" s="118">
        <v>19</v>
      </c>
      <c r="AJ328" s="128"/>
      <c r="AK328" s="120" t="e">
        <f t="shared" si="53"/>
        <v>#REF!</v>
      </c>
    </row>
    <row r="329" spans="1:37" s="109" customFormat="1" ht="13.5" x14ac:dyDescent="0.25">
      <c r="A329" s="181">
        <v>33</v>
      </c>
      <c r="B329" s="122" t="s">
        <v>169</v>
      </c>
      <c r="C329" s="122">
        <v>16</v>
      </c>
      <c r="D329" s="122"/>
      <c r="E329" s="123"/>
      <c r="F329" s="123">
        <v>1925</v>
      </c>
      <c r="G329" s="123">
        <v>112</v>
      </c>
      <c r="H329" s="118">
        <v>263</v>
      </c>
      <c r="I329" s="118">
        <v>958</v>
      </c>
      <c r="J329" s="118">
        <v>592</v>
      </c>
      <c r="K329" s="123">
        <f t="shared" si="54"/>
        <v>112</v>
      </c>
      <c r="L329" s="124">
        <f t="shared" si="55"/>
        <v>131.5</v>
      </c>
      <c r="M329" s="124">
        <f t="shared" si="55"/>
        <v>479</v>
      </c>
      <c r="N329" s="124">
        <f t="shared" si="55"/>
        <v>296</v>
      </c>
      <c r="O329" s="124">
        <f t="shared" si="56"/>
        <v>1018.5</v>
      </c>
      <c r="P329" s="124">
        <f t="shared" si="57"/>
        <v>131.5</v>
      </c>
      <c r="Q329" s="124">
        <f t="shared" si="57"/>
        <v>479</v>
      </c>
      <c r="R329" s="124">
        <f t="shared" si="57"/>
        <v>296</v>
      </c>
      <c r="S329" s="118">
        <f t="shared" si="58"/>
        <v>906.5</v>
      </c>
      <c r="T329" s="123" t="e">
        <f>'[1]убор.пл. ф-8 сост. 01.01.11 г.'!O340+'[1]убор.пл. ф-8 сост. 01.01.11 г.'!P340+'[1]убор.пл. ф-8 сост. 01.01.11 г.'!Q340+'[1]убор.пл. ф-8 сост. 01.01.11 г.'!R340+'[1]убор.пл. ф-8 сост. 01.01.11 г.'!U340+'[1]убор.пл. ф-8 сост. 01.01.11 г.'!V340+'[1]убор.пл. ф-8 сост. 01.01.11 г.'!X340+'[1]убор.пл. ф-8 сост. 01.01.11 г.'!Z340+'[1]убор.пл. ф-8 сост. 01.01.11 г.'!AA340+'[1]убор.пл. ф-8 сост. 01.01.11 г.'!AB340</f>
        <v>#REF!</v>
      </c>
      <c r="U329" s="123"/>
      <c r="V329" s="118">
        <v>205</v>
      </c>
      <c r="W329" s="123" t="e">
        <f>'[1]убор.пл. ф-8 сост. 01.01.11 г.'!S340+'[1]убор.пл. ф-8 сост. 01.01.11 г.'!W340+'[1]убор.пл. ф-8 сост. 01.01.11 г.'!AC340+'[1]убор.пл. ф-8 сост. 01.01.11 г.'!AD340</f>
        <v>#REF!</v>
      </c>
      <c r="X329" s="123"/>
      <c r="Y329" s="123">
        <v>1880</v>
      </c>
      <c r="Z329" s="118"/>
      <c r="AA329" s="123">
        <v>10</v>
      </c>
      <c r="AB329" s="118">
        <v>4010</v>
      </c>
      <c r="AC329" s="118"/>
      <c r="AD329" s="118">
        <f t="shared" si="59"/>
        <v>1018.5</v>
      </c>
      <c r="AE329" s="118"/>
      <c r="AF329" s="118" t="e">
        <f>#REF!-AE329</f>
        <v>#REF!</v>
      </c>
      <c r="AG329" s="128"/>
      <c r="AH329" s="118" t="e">
        <f>#REF!-AG329</f>
        <v>#REF!</v>
      </c>
      <c r="AI329" s="118">
        <v>10</v>
      </c>
      <c r="AJ329" s="128"/>
      <c r="AK329" s="120" t="e">
        <f t="shared" si="53"/>
        <v>#REF!</v>
      </c>
    </row>
    <row r="330" spans="1:37" s="109" customFormat="1" ht="13.5" x14ac:dyDescent="0.25">
      <c r="A330" s="181">
        <v>34</v>
      </c>
      <c r="B330" s="241" t="s">
        <v>169</v>
      </c>
      <c r="C330" s="241">
        <v>18</v>
      </c>
      <c r="D330" s="241"/>
      <c r="E330" s="239"/>
      <c r="F330" s="239">
        <v>1073</v>
      </c>
      <c r="G330" s="123">
        <v>402</v>
      </c>
      <c r="H330" s="118">
        <v>156</v>
      </c>
      <c r="I330" s="118">
        <v>282</v>
      </c>
      <c r="J330" s="118">
        <v>233</v>
      </c>
      <c r="K330" s="123">
        <f t="shared" si="54"/>
        <v>402</v>
      </c>
      <c r="L330" s="124">
        <f t="shared" si="55"/>
        <v>78</v>
      </c>
      <c r="M330" s="124">
        <f t="shared" si="55"/>
        <v>141</v>
      </c>
      <c r="N330" s="124">
        <f t="shared" si="55"/>
        <v>116.5</v>
      </c>
      <c r="O330" s="124">
        <f t="shared" si="56"/>
        <v>737.5</v>
      </c>
      <c r="P330" s="124">
        <f t="shared" si="57"/>
        <v>78</v>
      </c>
      <c r="Q330" s="124">
        <f t="shared" si="57"/>
        <v>141</v>
      </c>
      <c r="R330" s="124">
        <f t="shared" si="57"/>
        <v>116.5</v>
      </c>
      <c r="S330" s="118">
        <f t="shared" si="58"/>
        <v>335.5</v>
      </c>
      <c r="T330" s="123">
        <f>80+45</f>
        <v>125</v>
      </c>
      <c r="U330" s="123"/>
      <c r="V330" s="118">
        <v>125</v>
      </c>
      <c r="W330" s="123" t="e">
        <f>'[1]убор.пл. ф-8 сост. 01.01.11 г.'!S341+'[1]убор.пл. ф-8 сост. 01.01.11 г.'!W341+'[1]убор.пл. ф-8 сост. 01.01.11 г.'!AC341+'[1]убор.пл. ф-8 сост. 01.01.11 г.'!AD341</f>
        <v>#REF!</v>
      </c>
      <c r="X330" s="123"/>
      <c r="Y330" s="123">
        <v>3503</v>
      </c>
      <c r="Z330" s="118"/>
      <c r="AA330" s="123">
        <v>17</v>
      </c>
      <c r="AB330" s="118">
        <v>4701</v>
      </c>
      <c r="AC330" s="118"/>
      <c r="AD330" s="118">
        <f t="shared" si="59"/>
        <v>737.5</v>
      </c>
      <c r="AE330" s="118"/>
      <c r="AF330" s="118" t="e">
        <f>#REF!-AE330</f>
        <v>#REF!</v>
      </c>
      <c r="AG330" s="128"/>
      <c r="AH330" s="118" t="e">
        <f>#REF!-AG330</f>
        <v>#REF!</v>
      </c>
      <c r="AI330" s="118">
        <v>17</v>
      </c>
      <c r="AJ330" s="118"/>
      <c r="AK330" s="120" t="e">
        <f t="shared" si="53"/>
        <v>#REF!</v>
      </c>
    </row>
    <row r="331" spans="1:37" s="109" customFormat="1" ht="13.5" x14ac:dyDescent="0.25">
      <c r="A331" s="181">
        <v>35</v>
      </c>
      <c r="B331" s="122" t="s">
        <v>169</v>
      </c>
      <c r="C331" s="122">
        <v>20</v>
      </c>
      <c r="D331" s="122"/>
      <c r="E331" s="123"/>
      <c r="F331" s="123">
        <v>1250</v>
      </c>
      <c r="G331" s="123">
        <v>125</v>
      </c>
      <c r="H331" s="118">
        <v>209</v>
      </c>
      <c r="I331" s="118">
        <v>723</v>
      </c>
      <c r="J331" s="118">
        <v>193</v>
      </c>
      <c r="K331" s="123">
        <f t="shared" si="54"/>
        <v>125</v>
      </c>
      <c r="L331" s="124">
        <f t="shared" si="55"/>
        <v>104.5</v>
      </c>
      <c r="M331" s="124">
        <f t="shared" si="55"/>
        <v>361.5</v>
      </c>
      <c r="N331" s="124">
        <f t="shared" si="55"/>
        <v>96.5</v>
      </c>
      <c r="O331" s="124">
        <f t="shared" si="56"/>
        <v>687.5</v>
      </c>
      <c r="P331" s="124">
        <f t="shared" si="57"/>
        <v>104.5</v>
      </c>
      <c r="Q331" s="124">
        <f t="shared" si="57"/>
        <v>361.5</v>
      </c>
      <c r="R331" s="124">
        <f t="shared" si="57"/>
        <v>96.5</v>
      </c>
      <c r="S331" s="118">
        <f t="shared" si="58"/>
        <v>562.5</v>
      </c>
      <c r="T331" s="123" t="e">
        <f>'[1]убор.пл. ф-8 сост. 01.01.11 г.'!O342+'[1]убор.пл. ф-8 сост. 01.01.11 г.'!P342+'[1]убор.пл. ф-8 сост. 01.01.11 г.'!Q342+'[1]убор.пл. ф-8 сост. 01.01.11 г.'!R342+'[1]убор.пл. ф-8 сост. 01.01.11 г.'!U342+'[1]убор.пл. ф-8 сост. 01.01.11 г.'!V342+'[1]убор.пл. ф-8 сост. 01.01.11 г.'!X342+'[1]убор.пл. ф-8 сост. 01.01.11 г.'!Z342+'[1]убор.пл. ф-8 сост. 01.01.11 г.'!AA342+'[1]убор.пл. ф-8 сост. 01.01.11 г.'!AB342</f>
        <v>#REF!</v>
      </c>
      <c r="U331" s="123"/>
      <c r="V331" s="118"/>
      <c r="W331" s="123" t="e">
        <f>'[1]убор.пл. ф-8 сост. 01.01.11 г.'!S342+'[1]убор.пл. ф-8 сост. 01.01.11 г.'!W342+'[1]убор.пл. ф-8 сост. 01.01.11 г.'!AC342+'[1]убор.пл. ф-8 сост. 01.01.11 г.'!AD342</f>
        <v>#REF!</v>
      </c>
      <c r="X331" s="123"/>
      <c r="Y331" s="123">
        <v>1464</v>
      </c>
      <c r="Z331" s="118"/>
      <c r="AA331" s="123">
        <v>12</v>
      </c>
      <c r="AB331" s="118">
        <v>2714</v>
      </c>
      <c r="AC331" s="118"/>
      <c r="AD331" s="118">
        <f t="shared" si="59"/>
        <v>687.5</v>
      </c>
      <c r="AE331" s="118"/>
      <c r="AF331" s="118" t="e">
        <f>#REF!-AE331</f>
        <v>#REF!</v>
      </c>
      <c r="AG331" s="118"/>
      <c r="AH331" s="118" t="e">
        <f>#REF!-AG331</f>
        <v>#REF!</v>
      </c>
      <c r="AI331" s="118">
        <v>12</v>
      </c>
      <c r="AJ331" s="128"/>
      <c r="AK331" s="120" t="e">
        <f t="shared" si="53"/>
        <v>#REF!</v>
      </c>
    </row>
    <row r="332" spans="1:37" s="109" customFormat="1" ht="13.5" x14ac:dyDescent="0.25">
      <c r="A332" s="181">
        <v>36</v>
      </c>
      <c r="B332" s="122" t="s">
        <v>169</v>
      </c>
      <c r="C332" s="122">
        <v>22</v>
      </c>
      <c r="D332" s="122">
        <v>1</v>
      </c>
      <c r="E332" s="123">
        <f>108.5+60+1620</f>
        <v>1788.5</v>
      </c>
      <c r="F332" s="123">
        <f>2749+E332</f>
        <v>4537.5</v>
      </c>
      <c r="G332" s="123">
        <f>683+1788.5</f>
        <v>2471.5</v>
      </c>
      <c r="H332" s="118">
        <v>871</v>
      </c>
      <c r="I332" s="118">
        <v>659</v>
      </c>
      <c r="J332" s="118">
        <v>536</v>
      </c>
      <c r="K332" s="123">
        <f t="shared" si="54"/>
        <v>2471.5</v>
      </c>
      <c r="L332" s="124">
        <f t="shared" si="55"/>
        <v>435.5</v>
      </c>
      <c r="M332" s="124">
        <f t="shared" si="55"/>
        <v>329.5</v>
      </c>
      <c r="N332" s="124">
        <f t="shared" si="55"/>
        <v>268</v>
      </c>
      <c r="O332" s="124">
        <f t="shared" si="56"/>
        <v>3504.5</v>
      </c>
      <c r="P332" s="124">
        <f t="shared" si="57"/>
        <v>435.5</v>
      </c>
      <c r="Q332" s="124">
        <f t="shared" si="57"/>
        <v>329.5</v>
      </c>
      <c r="R332" s="124">
        <f t="shared" si="57"/>
        <v>268</v>
      </c>
      <c r="S332" s="118">
        <f t="shared" si="58"/>
        <v>1033</v>
      </c>
      <c r="T332" s="123">
        <f>1123+1324</f>
        <v>2447</v>
      </c>
      <c r="U332" s="123"/>
      <c r="V332" s="118">
        <v>2447</v>
      </c>
      <c r="W332" s="123" t="e">
        <f>'[1]убор.пл. ф-8 сост. 01.01.11 г.'!S343+'[1]убор.пл. ф-8 сост. 01.01.11 г.'!W343+'[1]убор.пл. ф-8 сост. 01.01.11 г.'!AC343+'[1]убор.пл. ф-8 сост. 01.01.11 г.'!AD343</f>
        <v>#REF!</v>
      </c>
      <c r="X332" s="123"/>
      <c r="Y332" s="123">
        <f>5303-E332</f>
        <v>3514.5</v>
      </c>
      <c r="Z332" s="118"/>
      <c r="AA332" s="123">
        <v>11</v>
      </c>
      <c r="AB332" s="118">
        <v>10499</v>
      </c>
      <c r="AC332" s="118"/>
      <c r="AD332" s="118">
        <f t="shared" si="59"/>
        <v>3504.5</v>
      </c>
      <c r="AE332" s="118"/>
      <c r="AF332" s="118" t="e">
        <f>#REF!-AE332</f>
        <v>#REF!</v>
      </c>
      <c r="AG332" s="118"/>
      <c r="AH332" s="118" t="e">
        <f>#REF!-AG332</f>
        <v>#REF!</v>
      </c>
      <c r="AI332" s="118">
        <v>11</v>
      </c>
      <c r="AJ332" s="128"/>
      <c r="AK332" s="120" t="e">
        <f t="shared" si="53"/>
        <v>#REF!</v>
      </c>
    </row>
    <row r="333" spans="1:37" s="109" customFormat="1" ht="13.5" x14ac:dyDescent="0.25">
      <c r="A333" s="181">
        <v>37</v>
      </c>
      <c r="B333" s="122" t="s">
        <v>169</v>
      </c>
      <c r="C333" s="122">
        <v>22</v>
      </c>
      <c r="D333" s="122">
        <v>3</v>
      </c>
      <c r="E333" s="123">
        <f>240</f>
        <v>240</v>
      </c>
      <c r="F333" s="123">
        <f>2379+E333</f>
        <v>2619</v>
      </c>
      <c r="G333" s="123">
        <f>552+E333</f>
        <v>792</v>
      </c>
      <c r="H333" s="118">
        <v>534</v>
      </c>
      <c r="I333" s="118">
        <v>1192</v>
      </c>
      <c r="J333" s="118">
        <v>101</v>
      </c>
      <c r="K333" s="123">
        <f t="shared" si="54"/>
        <v>792</v>
      </c>
      <c r="L333" s="124">
        <f t="shared" si="55"/>
        <v>267</v>
      </c>
      <c r="M333" s="124">
        <f t="shared" si="55"/>
        <v>596</v>
      </c>
      <c r="N333" s="124">
        <f t="shared" si="55"/>
        <v>50.5</v>
      </c>
      <c r="O333" s="124">
        <f t="shared" si="56"/>
        <v>1705.5</v>
      </c>
      <c r="P333" s="124">
        <f t="shared" si="57"/>
        <v>267</v>
      </c>
      <c r="Q333" s="124">
        <f t="shared" si="57"/>
        <v>596</v>
      </c>
      <c r="R333" s="124">
        <f t="shared" si="57"/>
        <v>50.5</v>
      </c>
      <c r="S333" s="118">
        <f t="shared" si="58"/>
        <v>913.5</v>
      </c>
      <c r="T333" s="123">
        <v>267</v>
      </c>
      <c r="U333" s="123"/>
      <c r="V333" s="118">
        <v>267</v>
      </c>
      <c r="W333" s="123" t="e">
        <f>'[1]убор.пл. ф-8 сост. 01.01.11 г.'!S344+'[1]убор.пл. ф-8 сост. 01.01.11 г.'!W344+'[1]убор.пл. ф-8 сост. 01.01.11 г.'!AC344+'[1]убор.пл. ф-8 сост. 01.01.11 г.'!AD344</f>
        <v>#REF!</v>
      </c>
      <c r="X333" s="123"/>
      <c r="Y333" s="123">
        <f>6469-E333</f>
        <v>6229</v>
      </c>
      <c r="Z333" s="118"/>
      <c r="AA333" s="238"/>
      <c r="AB333" s="118">
        <v>9115</v>
      </c>
      <c r="AC333" s="118"/>
      <c r="AD333" s="118">
        <f t="shared" si="59"/>
        <v>1705.5</v>
      </c>
      <c r="AE333" s="118"/>
      <c r="AF333" s="118" t="e">
        <f>#REF!-AE333</f>
        <v>#REF!</v>
      </c>
      <c r="AG333" s="128">
        <v>180</v>
      </c>
      <c r="AH333" s="118" t="e">
        <f>#REF!-AG333</f>
        <v>#REF!</v>
      </c>
      <c r="AI333" s="128"/>
      <c r="AJ333" s="128"/>
      <c r="AK333" s="120" t="e">
        <f t="shared" si="53"/>
        <v>#REF!</v>
      </c>
    </row>
    <row r="334" spans="1:37" s="109" customFormat="1" ht="13.5" x14ac:dyDescent="0.25">
      <c r="A334" s="181">
        <v>38</v>
      </c>
      <c r="B334" s="122" t="s">
        <v>169</v>
      </c>
      <c r="C334" s="122">
        <v>24</v>
      </c>
      <c r="D334" s="122"/>
      <c r="E334" s="123">
        <f>148.9+205.06</f>
        <v>353.96000000000004</v>
      </c>
      <c r="F334" s="123">
        <f>1559+E334</f>
        <v>1912.96</v>
      </c>
      <c r="G334" s="123">
        <v>400.96</v>
      </c>
      <c r="H334" s="118">
        <v>122</v>
      </c>
      <c r="I334" s="118">
        <v>638</v>
      </c>
      <c r="J334" s="118">
        <v>752</v>
      </c>
      <c r="K334" s="123">
        <f t="shared" si="54"/>
        <v>400.96</v>
      </c>
      <c r="L334" s="124">
        <f t="shared" si="55"/>
        <v>61</v>
      </c>
      <c r="M334" s="124">
        <f t="shared" si="55"/>
        <v>319</v>
      </c>
      <c r="N334" s="124">
        <f t="shared" si="55"/>
        <v>376</v>
      </c>
      <c r="O334" s="124">
        <f t="shared" si="56"/>
        <v>1156.96</v>
      </c>
      <c r="P334" s="124">
        <f t="shared" si="57"/>
        <v>61</v>
      </c>
      <c r="Q334" s="124">
        <f t="shared" si="57"/>
        <v>319</v>
      </c>
      <c r="R334" s="124">
        <f t="shared" si="57"/>
        <v>376</v>
      </c>
      <c r="S334" s="118">
        <f t="shared" si="58"/>
        <v>756</v>
      </c>
      <c r="T334" s="123" t="e">
        <f>'[1]убор.пл. ф-8 сост. 01.01.11 г.'!O345+'[1]убор.пл. ф-8 сост. 01.01.11 г.'!P345+'[1]убор.пл. ф-8 сост. 01.01.11 г.'!Q345+'[1]убор.пл. ф-8 сост. 01.01.11 г.'!R345+'[1]убор.пл. ф-8 сост. 01.01.11 г.'!U345+'[1]убор.пл. ф-8 сост. 01.01.11 г.'!V345+'[1]убор.пл. ф-8 сост. 01.01.11 г.'!X345+'[1]убор.пл. ф-8 сост. 01.01.11 г.'!Z345+'[1]убор.пл. ф-8 сост. 01.01.11 г.'!AA345+'[1]убор.пл. ф-8 сост. 01.01.11 г.'!AB345</f>
        <v>#REF!</v>
      </c>
      <c r="U334" s="123"/>
      <c r="V334" s="118">
        <v>552</v>
      </c>
      <c r="W334" s="123" t="e">
        <f>'[1]убор.пл. ф-8 сост. 01.01.11 г.'!S345+'[1]убор.пл. ф-8 сост. 01.01.11 г.'!W345+'[1]убор.пл. ф-8 сост. 01.01.11 г.'!AC345+'[1]убор.пл. ф-8 сост. 01.01.11 г.'!AD345</f>
        <v>#REF!</v>
      </c>
      <c r="X334" s="123"/>
      <c r="Y334" s="123">
        <f>920-E334</f>
        <v>566.04</v>
      </c>
      <c r="Z334" s="118"/>
      <c r="AA334" s="123">
        <v>9</v>
      </c>
      <c r="AB334" s="118">
        <v>3031</v>
      </c>
      <c r="AC334" s="118"/>
      <c r="AD334" s="118">
        <f t="shared" si="59"/>
        <v>1156.96</v>
      </c>
      <c r="AE334" s="118"/>
      <c r="AF334" s="118" t="e">
        <f>#REF!-AE334</f>
        <v>#REF!</v>
      </c>
      <c r="AG334" s="118">
        <v>12</v>
      </c>
      <c r="AH334" s="118" t="e">
        <f>#REF!-AG334</f>
        <v>#REF!</v>
      </c>
      <c r="AI334" s="118">
        <v>9</v>
      </c>
      <c r="AJ334" s="128"/>
      <c r="AK334" s="120" t="e">
        <f t="shared" si="53"/>
        <v>#REF!</v>
      </c>
    </row>
    <row r="335" spans="1:37" ht="13.5" x14ac:dyDescent="0.25">
      <c r="A335" s="181">
        <v>39</v>
      </c>
      <c r="B335" s="122" t="s">
        <v>169</v>
      </c>
      <c r="C335" s="122">
        <v>26</v>
      </c>
      <c r="D335" s="122">
        <v>1</v>
      </c>
      <c r="E335" s="204"/>
      <c r="F335" s="123">
        <v>450</v>
      </c>
      <c r="G335" s="123">
        <v>106</v>
      </c>
      <c r="H335" s="118">
        <v>34</v>
      </c>
      <c r="I335" s="118">
        <v>310</v>
      </c>
      <c r="J335" s="118"/>
      <c r="K335" s="123">
        <f t="shared" si="54"/>
        <v>106</v>
      </c>
      <c r="L335" s="124">
        <f t="shared" si="55"/>
        <v>17</v>
      </c>
      <c r="M335" s="124">
        <f t="shared" si="55"/>
        <v>155</v>
      </c>
      <c r="N335" s="124">
        <f t="shared" si="55"/>
        <v>0</v>
      </c>
      <c r="O335" s="124">
        <f t="shared" si="56"/>
        <v>278</v>
      </c>
      <c r="P335" s="124">
        <f t="shared" si="57"/>
        <v>17</v>
      </c>
      <c r="Q335" s="124">
        <f t="shared" si="57"/>
        <v>155</v>
      </c>
      <c r="R335" s="124">
        <f t="shared" si="57"/>
        <v>0</v>
      </c>
      <c r="S335" s="118">
        <f t="shared" si="58"/>
        <v>172</v>
      </c>
      <c r="T335" s="204" t="e">
        <f>'[1]убор.пл. ф-8 сост. 01.01.11 г.'!O346+'[1]убор.пл. ф-8 сост. 01.01.11 г.'!P346+'[1]убор.пл. ф-8 сост. 01.01.11 г.'!Q346+'[1]убор.пл. ф-8 сост. 01.01.11 г.'!R346+'[1]убор.пл. ф-8 сост. 01.01.11 г.'!U346+'[1]убор.пл. ф-8 сост. 01.01.11 г.'!V346+'[1]убор.пл. ф-8 сост. 01.01.11 г.'!X346+'[1]убор.пл. ф-8 сост. 01.01.11 г.'!Z346+'[1]убор.пл. ф-8 сост. 01.01.11 г.'!AA346+'[1]убор.пл. ф-8 сост. 01.01.11 г.'!AB346</f>
        <v>#REF!</v>
      </c>
      <c r="U335" s="204"/>
      <c r="V335" s="118"/>
      <c r="W335" s="123" t="e">
        <f>'[1]убор.пл. ф-8 сост. 01.01.11 г.'!S346+'[1]убор.пл. ф-8 сост. 01.01.11 г.'!W346+'[1]убор.пл. ф-8 сост. 01.01.11 г.'!AC346+'[1]убор.пл. ф-8 сост. 01.01.11 г.'!AD346</f>
        <v>#REF!</v>
      </c>
      <c r="X335" s="123"/>
      <c r="Y335" s="123">
        <v>2216</v>
      </c>
      <c r="Z335" s="118"/>
      <c r="AA335" s="238"/>
      <c r="AB335" s="118">
        <v>2666</v>
      </c>
      <c r="AC335" s="206"/>
      <c r="AD335" s="206">
        <f t="shared" si="59"/>
        <v>278</v>
      </c>
      <c r="AE335" s="206"/>
      <c r="AF335" s="206" t="e">
        <f>#REF!-AE335</f>
        <v>#REF!</v>
      </c>
      <c r="AG335" s="206"/>
      <c r="AH335" s="206" t="e">
        <f>#REF!-AG335</f>
        <v>#REF!</v>
      </c>
      <c r="AI335" s="207"/>
      <c r="AJ335" s="207"/>
      <c r="AK335" s="208" t="e">
        <f t="shared" si="53"/>
        <v>#REF!</v>
      </c>
    </row>
    <row r="336" spans="1:37" ht="13.5" x14ac:dyDescent="0.25">
      <c r="A336" s="181">
        <v>40</v>
      </c>
      <c r="B336" s="122" t="s">
        <v>169</v>
      </c>
      <c r="C336" s="122">
        <v>26</v>
      </c>
      <c r="D336" s="122">
        <v>2</v>
      </c>
      <c r="E336" s="204"/>
      <c r="F336" s="123">
        <v>1086</v>
      </c>
      <c r="G336" s="123">
        <v>435</v>
      </c>
      <c r="H336" s="118">
        <v>147</v>
      </c>
      <c r="I336" s="118">
        <v>155</v>
      </c>
      <c r="J336" s="118">
        <v>349</v>
      </c>
      <c r="K336" s="123">
        <f t="shared" si="54"/>
        <v>435</v>
      </c>
      <c r="L336" s="124">
        <f t="shared" si="55"/>
        <v>73.5</v>
      </c>
      <c r="M336" s="124">
        <f t="shared" si="55"/>
        <v>77.5</v>
      </c>
      <c r="N336" s="124">
        <f t="shared" si="55"/>
        <v>174.5</v>
      </c>
      <c r="O336" s="124">
        <f t="shared" si="56"/>
        <v>760.5</v>
      </c>
      <c r="P336" s="124">
        <f t="shared" si="57"/>
        <v>73.5</v>
      </c>
      <c r="Q336" s="124">
        <f t="shared" si="57"/>
        <v>77.5</v>
      </c>
      <c r="R336" s="124">
        <f t="shared" si="57"/>
        <v>174.5</v>
      </c>
      <c r="S336" s="118">
        <f t="shared" si="58"/>
        <v>325.5</v>
      </c>
      <c r="T336" s="204" t="e">
        <f>'[1]убор.пл. ф-8 сост. 01.01.11 г.'!O347+'[1]убор.пл. ф-8 сост. 01.01.11 г.'!P347+'[1]убор.пл. ф-8 сост. 01.01.11 г.'!Q347+'[1]убор.пл. ф-8 сост. 01.01.11 г.'!R347+'[1]убор.пл. ф-8 сост. 01.01.11 г.'!U347+'[1]убор.пл. ф-8 сост. 01.01.11 г.'!V347+'[1]убор.пл. ф-8 сост. 01.01.11 г.'!X347+'[1]убор.пл. ф-8 сост. 01.01.11 г.'!Z347+'[1]убор.пл. ф-8 сост. 01.01.11 г.'!AA347+'[1]убор.пл. ф-8 сост. 01.01.11 г.'!AB347</f>
        <v>#REF!</v>
      </c>
      <c r="U336" s="204"/>
      <c r="V336" s="118">
        <v>129</v>
      </c>
      <c r="W336" s="123" t="e">
        <f>'[1]убор.пл. ф-8 сост. 01.01.11 г.'!S347+'[1]убор.пл. ф-8 сост. 01.01.11 г.'!W347+'[1]убор.пл. ф-8 сост. 01.01.11 г.'!AC347+'[1]убор.пл. ф-8 сост. 01.01.11 г.'!AD347</f>
        <v>#REF!</v>
      </c>
      <c r="X336" s="123"/>
      <c r="Y336" s="123">
        <v>4671</v>
      </c>
      <c r="Z336" s="118"/>
      <c r="AA336" s="238"/>
      <c r="AB336" s="118">
        <v>5886</v>
      </c>
      <c r="AC336" s="206"/>
      <c r="AD336" s="206">
        <f t="shared" si="59"/>
        <v>760.5</v>
      </c>
      <c r="AE336" s="206"/>
      <c r="AF336" s="206" t="e">
        <f>#REF!-AE336</f>
        <v>#REF!</v>
      </c>
      <c r="AG336" s="206"/>
      <c r="AH336" s="206" t="e">
        <f>#REF!-AG336</f>
        <v>#REF!</v>
      </c>
      <c r="AI336" s="207"/>
      <c r="AJ336" s="206"/>
      <c r="AK336" s="208" t="e">
        <f t="shared" si="53"/>
        <v>#REF!</v>
      </c>
    </row>
    <row r="337" spans="1:38" ht="13.5" x14ac:dyDescent="0.25">
      <c r="A337" s="181">
        <v>41</v>
      </c>
      <c r="B337" s="122" t="s">
        <v>169</v>
      </c>
      <c r="C337" s="122">
        <v>26</v>
      </c>
      <c r="D337" s="122">
        <v>3</v>
      </c>
      <c r="E337" s="204"/>
      <c r="F337" s="123">
        <v>1887</v>
      </c>
      <c r="G337" s="123">
        <v>520</v>
      </c>
      <c r="H337" s="118">
        <v>183</v>
      </c>
      <c r="I337" s="118">
        <v>630</v>
      </c>
      <c r="J337" s="118">
        <v>554</v>
      </c>
      <c r="K337" s="123">
        <f t="shared" si="54"/>
        <v>520</v>
      </c>
      <c r="L337" s="124">
        <f t="shared" si="55"/>
        <v>91.5</v>
      </c>
      <c r="M337" s="124">
        <f t="shared" si="55"/>
        <v>315</v>
      </c>
      <c r="N337" s="124">
        <f t="shared" si="55"/>
        <v>277</v>
      </c>
      <c r="O337" s="124">
        <f t="shared" si="56"/>
        <v>1203.5</v>
      </c>
      <c r="P337" s="124">
        <f t="shared" si="57"/>
        <v>91.5</v>
      </c>
      <c r="Q337" s="124">
        <f t="shared" si="57"/>
        <v>315</v>
      </c>
      <c r="R337" s="124">
        <f t="shared" si="57"/>
        <v>277</v>
      </c>
      <c r="S337" s="118">
        <f t="shared" si="58"/>
        <v>683.5</v>
      </c>
      <c r="T337" s="204" t="e">
        <f>'[1]убор.пл. ф-8 сост. 01.01.11 г.'!O348+'[1]убор.пл. ф-8 сост. 01.01.11 г.'!P348+'[1]убор.пл. ф-8 сост. 01.01.11 г.'!Q348+'[1]убор.пл. ф-8 сост. 01.01.11 г.'!R348+'[1]убор.пл. ф-8 сост. 01.01.11 г.'!U348+'[1]убор.пл. ф-8 сост. 01.01.11 г.'!V348+'[1]убор.пл. ф-8 сост. 01.01.11 г.'!X348+'[1]убор.пл. ф-8 сост. 01.01.11 г.'!Z348+'[1]убор.пл. ф-8 сост. 01.01.11 г.'!AA348+'[1]убор.пл. ф-8 сост. 01.01.11 г.'!AB348</f>
        <v>#REF!</v>
      </c>
      <c r="U337" s="204"/>
      <c r="V337" s="118"/>
      <c r="W337" s="123" t="e">
        <f>'[1]убор.пл. ф-8 сост. 01.01.11 г.'!S348+'[1]убор.пл. ф-8 сост. 01.01.11 г.'!W348+'[1]убор.пл. ф-8 сост. 01.01.11 г.'!AC348+'[1]убор.пл. ф-8 сост. 01.01.11 г.'!AD348</f>
        <v>#REF!</v>
      </c>
      <c r="X337" s="123"/>
      <c r="Y337" s="123">
        <v>5554</v>
      </c>
      <c r="Z337" s="118"/>
      <c r="AA337" s="123">
        <v>14</v>
      </c>
      <c r="AB337" s="118">
        <v>7441</v>
      </c>
      <c r="AC337" s="206"/>
      <c r="AD337" s="206">
        <f t="shared" si="59"/>
        <v>1203.5</v>
      </c>
      <c r="AE337" s="206"/>
      <c r="AF337" s="206" t="e">
        <f>#REF!-AE337</f>
        <v>#REF!</v>
      </c>
      <c r="AG337" s="207"/>
      <c r="AH337" s="206" t="e">
        <f>#REF!-AG337</f>
        <v>#REF!</v>
      </c>
      <c r="AI337" s="206">
        <v>14</v>
      </c>
      <c r="AJ337" s="207"/>
      <c r="AK337" s="208" t="e">
        <f t="shared" si="53"/>
        <v>#REF!</v>
      </c>
    </row>
    <row r="338" spans="1:38" ht="13.5" x14ac:dyDescent="0.25">
      <c r="A338" s="181">
        <v>42</v>
      </c>
      <c r="B338" s="122" t="s">
        <v>169</v>
      </c>
      <c r="C338" s="122">
        <v>28</v>
      </c>
      <c r="D338" s="122">
        <v>1</v>
      </c>
      <c r="E338" s="204"/>
      <c r="F338" s="123">
        <v>570</v>
      </c>
      <c r="G338" s="123">
        <v>170</v>
      </c>
      <c r="H338" s="118">
        <v>35</v>
      </c>
      <c r="I338" s="118">
        <v>365</v>
      </c>
      <c r="J338" s="118"/>
      <c r="K338" s="123">
        <f t="shared" si="54"/>
        <v>170</v>
      </c>
      <c r="L338" s="124">
        <f t="shared" si="55"/>
        <v>17.5</v>
      </c>
      <c r="M338" s="124">
        <f t="shared" si="55"/>
        <v>182.5</v>
      </c>
      <c r="N338" s="124">
        <f t="shared" si="55"/>
        <v>0</v>
      </c>
      <c r="O338" s="124">
        <f t="shared" si="56"/>
        <v>370</v>
      </c>
      <c r="P338" s="124">
        <f t="shared" si="57"/>
        <v>17.5</v>
      </c>
      <c r="Q338" s="124">
        <f t="shared" si="57"/>
        <v>182.5</v>
      </c>
      <c r="R338" s="124">
        <f t="shared" si="57"/>
        <v>0</v>
      </c>
      <c r="S338" s="118">
        <f t="shared" si="58"/>
        <v>200</v>
      </c>
      <c r="T338" s="204" t="e">
        <f>'[1]убор.пл. ф-8 сост. 01.01.11 г.'!O349+'[1]убор.пл. ф-8 сост. 01.01.11 г.'!P349+'[1]убор.пл. ф-8 сост. 01.01.11 г.'!Q349+'[1]убор.пл. ф-8 сост. 01.01.11 г.'!R349+'[1]убор.пл. ф-8 сост. 01.01.11 г.'!U349+'[1]убор.пл. ф-8 сост. 01.01.11 г.'!V349+'[1]убор.пл. ф-8 сост. 01.01.11 г.'!X349+'[1]убор.пл. ф-8 сост. 01.01.11 г.'!Z349+'[1]убор.пл. ф-8 сост. 01.01.11 г.'!AA349+'[1]убор.пл. ф-8 сост. 01.01.11 г.'!AB349</f>
        <v>#REF!</v>
      </c>
      <c r="U338" s="204"/>
      <c r="V338" s="118"/>
      <c r="W338" s="123" t="e">
        <f>'[1]убор.пл. ф-8 сост. 01.01.11 г.'!S349+'[1]убор.пл. ф-8 сост. 01.01.11 г.'!W349+'[1]убор.пл. ф-8 сост. 01.01.11 г.'!AC349+'[1]убор.пл. ф-8 сост. 01.01.11 г.'!AD349</f>
        <v>#REF!</v>
      </c>
      <c r="X338" s="123"/>
      <c r="Y338" s="123">
        <v>1376</v>
      </c>
      <c r="Z338" s="118"/>
      <c r="AA338" s="123">
        <v>15</v>
      </c>
      <c r="AB338" s="118">
        <v>1946</v>
      </c>
      <c r="AC338" s="206"/>
      <c r="AD338" s="206">
        <f t="shared" si="59"/>
        <v>370</v>
      </c>
      <c r="AE338" s="206"/>
      <c r="AF338" s="206" t="e">
        <f>#REF!-AE338</f>
        <v>#REF!</v>
      </c>
      <c r="AG338" s="206"/>
      <c r="AH338" s="206" t="e">
        <f>#REF!-AG338</f>
        <v>#REF!</v>
      </c>
      <c r="AI338" s="206">
        <v>15</v>
      </c>
      <c r="AJ338" s="206"/>
      <c r="AK338" s="208" t="e">
        <f t="shared" si="53"/>
        <v>#REF!</v>
      </c>
    </row>
    <row r="339" spans="1:38" ht="13.5" x14ac:dyDescent="0.25">
      <c r="A339" s="181">
        <v>43</v>
      </c>
      <c r="B339" s="122" t="s">
        <v>169</v>
      </c>
      <c r="C339" s="122">
        <v>28</v>
      </c>
      <c r="D339" s="122">
        <v>2</v>
      </c>
      <c r="E339" s="204"/>
      <c r="F339" s="123">
        <v>1242</v>
      </c>
      <c r="G339" s="123">
        <v>359</v>
      </c>
      <c r="H339" s="118">
        <v>148</v>
      </c>
      <c r="I339" s="118">
        <v>199</v>
      </c>
      <c r="J339" s="118">
        <v>536</v>
      </c>
      <c r="K339" s="123">
        <f t="shared" si="54"/>
        <v>359</v>
      </c>
      <c r="L339" s="124">
        <f t="shared" si="55"/>
        <v>74</v>
      </c>
      <c r="M339" s="124">
        <f t="shared" si="55"/>
        <v>99.5</v>
      </c>
      <c r="N339" s="124">
        <f t="shared" si="55"/>
        <v>268</v>
      </c>
      <c r="O339" s="124">
        <f t="shared" si="56"/>
        <v>800.5</v>
      </c>
      <c r="P339" s="124">
        <f t="shared" si="57"/>
        <v>74</v>
      </c>
      <c r="Q339" s="124">
        <f t="shared" si="57"/>
        <v>99.5</v>
      </c>
      <c r="R339" s="124">
        <f t="shared" si="57"/>
        <v>268</v>
      </c>
      <c r="S339" s="118">
        <f t="shared" si="58"/>
        <v>441.5</v>
      </c>
      <c r="T339" s="204" t="e">
        <f>'[1]убор.пл. ф-8 сост. 01.01.11 г.'!O350+'[1]убор.пл. ф-8 сост. 01.01.11 г.'!P350+'[1]убор.пл. ф-8 сост. 01.01.11 г.'!Q350+'[1]убор.пл. ф-8 сост. 01.01.11 г.'!R350+'[1]убор.пл. ф-8 сост. 01.01.11 г.'!U350+'[1]убор.пл. ф-8 сост. 01.01.11 г.'!V350+'[1]убор.пл. ф-8 сост. 01.01.11 г.'!X350+'[1]убор.пл. ф-8 сост. 01.01.11 г.'!Z350+'[1]убор.пл. ф-8 сост. 01.01.11 г.'!AA350+'[1]убор.пл. ф-8 сост. 01.01.11 г.'!AB350</f>
        <v>#REF!</v>
      </c>
      <c r="U339" s="204"/>
      <c r="V339" s="118"/>
      <c r="W339" s="123" t="e">
        <f>'[1]убор.пл. ф-8 сост. 01.01.11 г.'!S350+'[1]убор.пл. ф-8 сост. 01.01.11 г.'!W350+'[1]убор.пл. ф-8 сост. 01.01.11 г.'!AC350+'[1]убор.пл. ф-8 сост. 01.01.11 г.'!AD350</f>
        <v>#REF!</v>
      </c>
      <c r="X339" s="123"/>
      <c r="Y339" s="123">
        <v>4282</v>
      </c>
      <c r="Z339" s="118"/>
      <c r="AA339" s="238"/>
      <c r="AB339" s="118">
        <v>5524</v>
      </c>
      <c r="AC339" s="206"/>
      <c r="AD339" s="206">
        <f t="shared" si="59"/>
        <v>800.5</v>
      </c>
      <c r="AE339" s="206"/>
      <c r="AF339" s="206" t="e">
        <f>#REF!-AE339</f>
        <v>#REF!</v>
      </c>
      <c r="AG339" s="206"/>
      <c r="AH339" s="206" t="e">
        <f>#REF!-AG339</f>
        <v>#REF!</v>
      </c>
      <c r="AI339" s="207"/>
      <c r="AJ339" s="206"/>
      <c r="AK339" s="208" t="e">
        <f t="shared" si="53"/>
        <v>#REF!</v>
      </c>
    </row>
    <row r="340" spans="1:38" ht="14.25" thickBot="1" x14ac:dyDescent="0.3">
      <c r="A340" s="181">
        <v>44</v>
      </c>
      <c r="B340" s="122" t="s">
        <v>169</v>
      </c>
      <c r="C340" s="122">
        <v>28</v>
      </c>
      <c r="D340" s="122">
        <v>3</v>
      </c>
      <c r="E340" s="209"/>
      <c r="F340" s="131">
        <v>2249</v>
      </c>
      <c r="G340" s="131">
        <v>824</v>
      </c>
      <c r="H340" s="98">
        <v>284</v>
      </c>
      <c r="I340" s="98">
        <v>837</v>
      </c>
      <c r="J340" s="98">
        <v>304</v>
      </c>
      <c r="K340" s="131">
        <f t="shared" si="54"/>
        <v>824</v>
      </c>
      <c r="L340" s="100">
        <f t="shared" si="55"/>
        <v>142</v>
      </c>
      <c r="M340" s="100">
        <f t="shared" si="55"/>
        <v>418.5</v>
      </c>
      <c r="N340" s="100">
        <f t="shared" si="55"/>
        <v>152</v>
      </c>
      <c r="O340" s="100">
        <f t="shared" si="56"/>
        <v>1536.5</v>
      </c>
      <c r="P340" s="100">
        <f t="shared" si="57"/>
        <v>142</v>
      </c>
      <c r="Q340" s="100">
        <f t="shared" si="57"/>
        <v>418.5</v>
      </c>
      <c r="R340" s="100">
        <f t="shared" si="57"/>
        <v>152</v>
      </c>
      <c r="S340" s="98">
        <f t="shared" si="58"/>
        <v>712.5</v>
      </c>
      <c r="T340" s="209" t="e">
        <f>'[1]убор.пл. ф-8 сост. 01.01.11 г.'!O351+'[1]убор.пл. ф-8 сост. 01.01.11 г.'!P351+'[1]убор.пл. ф-8 сост. 01.01.11 г.'!Q351+'[1]убор.пл. ф-8 сост. 01.01.11 г.'!R351+'[1]убор.пл. ф-8 сост. 01.01.11 г.'!U351+'[1]убор.пл. ф-8 сост. 01.01.11 г.'!V351+'[1]убор.пл. ф-8 сост. 01.01.11 г.'!X351+'[1]убор.пл. ф-8 сост. 01.01.11 г.'!Z351+'[1]убор.пл. ф-8 сост. 01.01.11 г.'!AA351+'[1]убор.пл. ф-8 сост. 01.01.11 г.'!AB351</f>
        <v>#REF!</v>
      </c>
      <c r="U340" s="209"/>
      <c r="V340" s="98">
        <v>446</v>
      </c>
      <c r="W340" s="131" t="e">
        <f>'[1]убор.пл. ф-8 сост. 01.01.11 г.'!S351+'[1]убор.пл. ф-8 сост. 01.01.11 г.'!W351+'[1]убор.пл. ф-8 сост. 01.01.11 г.'!AC351+'[1]убор.пл. ф-8 сост. 01.01.11 г.'!AD351</f>
        <v>#REF!</v>
      </c>
      <c r="X340" s="131"/>
      <c r="Y340" s="131">
        <v>5658</v>
      </c>
      <c r="Z340" s="98">
        <v>31</v>
      </c>
      <c r="AA340" s="242"/>
      <c r="AB340" s="98">
        <v>8384</v>
      </c>
      <c r="AC340" s="206"/>
      <c r="AD340" s="206">
        <f t="shared" si="59"/>
        <v>1536.5</v>
      </c>
      <c r="AE340" s="206"/>
      <c r="AF340" s="206" t="e">
        <f>#REF!-AE340</f>
        <v>#REF!</v>
      </c>
      <c r="AG340" s="207"/>
      <c r="AH340" s="206" t="e">
        <f>#REF!-AG340</f>
        <v>#REF!</v>
      </c>
      <c r="AI340" s="207"/>
      <c r="AJ340" s="206"/>
      <c r="AK340" s="208" t="e">
        <f t="shared" si="53"/>
        <v>#REF!</v>
      </c>
    </row>
    <row r="341" spans="1:38" s="219" customFormat="1" ht="14.25" thickBot="1" x14ac:dyDescent="0.3">
      <c r="A341" s="243"/>
      <c r="B341" s="203" t="s">
        <v>172</v>
      </c>
      <c r="C341" s="203"/>
      <c r="D341" s="203"/>
      <c r="E341" s="234">
        <f>SUM(E297:E340)</f>
        <v>11937.79</v>
      </c>
      <c r="F341" s="244">
        <f t="shared" ref="F341:AI341" si="60">SUM(F297:F340)</f>
        <v>97111.790000000008</v>
      </c>
      <c r="G341" s="234">
        <f t="shared" si="60"/>
        <v>28733.79</v>
      </c>
      <c r="H341" s="245">
        <f t="shared" si="60"/>
        <v>14798</v>
      </c>
      <c r="I341" s="245">
        <f t="shared" si="60"/>
        <v>26314</v>
      </c>
      <c r="J341" s="245">
        <f t="shared" si="60"/>
        <v>27266</v>
      </c>
      <c r="K341" s="234">
        <f t="shared" si="60"/>
        <v>28733.79</v>
      </c>
      <c r="L341" s="246">
        <f t="shared" si="60"/>
        <v>7399</v>
      </c>
      <c r="M341" s="246">
        <f t="shared" si="60"/>
        <v>13157</v>
      </c>
      <c r="N341" s="246">
        <f t="shared" si="60"/>
        <v>13633</v>
      </c>
      <c r="O341" s="246">
        <f t="shared" si="60"/>
        <v>62922.789999999994</v>
      </c>
      <c r="P341" s="246">
        <f t="shared" si="60"/>
        <v>7399</v>
      </c>
      <c r="Q341" s="245">
        <f t="shared" si="60"/>
        <v>13157</v>
      </c>
      <c r="R341" s="246">
        <f t="shared" si="60"/>
        <v>13633</v>
      </c>
      <c r="S341" s="245">
        <f t="shared" si="60"/>
        <v>34189</v>
      </c>
      <c r="T341" s="234" t="e">
        <f t="shared" si="60"/>
        <v>#REF!</v>
      </c>
      <c r="U341" s="234">
        <f t="shared" si="60"/>
        <v>1238</v>
      </c>
      <c r="V341" s="245">
        <f t="shared" si="60"/>
        <v>10924</v>
      </c>
      <c r="W341" s="234" t="e">
        <f t="shared" si="60"/>
        <v>#REF!</v>
      </c>
      <c r="X341" s="234">
        <f t="shared" si="60"/>
        <v>4755</v>
      </c>
      <c r="Y341" s="234">
        <f t="shared" si="60"/>
        <v>205439.21</v>
      </c>
      <c r="Z341" s="245">
        <f t="shared" si="60"/>
        <v>10444</v>
      </c>
      <c r="AA341" s="234">
        <f t="shared" si="60"/>
        <v>537</v>
      </c>
      <c r="AB341" s="245">
        <f t="shared" si="60"/>
        <v>323919</v>
      </c>
      <c r="AC341" s="215">
        <f t="shared" si="60"/>
        <v>90</v>
      </c>
      <c r="AD341" s="216">
        <f t="shared" si="60"/>
        <v>62832.789999999994</v>
      </c>
      <c r="AE341" s="216">
        <f t="shared" si="60"/>
        <v>36</v>
      </c>
      <c r="AF341" s="216" t="e">
        <f t="shared" si="60"/>
        <v>#REF!</v>
      </c>
      <c r="AG341" s="216">
        <f t="shared" si="60"/>
        <v>558</v>
      </c>
      <c r="AH341" s="217" t="e">
        <f t="shared" si="60"/>
        <v>#REF!</v>
      </c>
      <c r="AI341" s="217">
        <f t="shared" si="60"/>
        <v>319</v>
      </c>
      <c r="AJ341" s="216"/>
      <c r="AK341" s="208" t="e">
        <f t="shared" si="53"/>
        <v>#REF!</v>
      </c>
      <c r="AL341" s="219">
        <v>324771</v>
      </c>
    </row>
    <row r="342" spans="1:38" s="219" customFormat="1" ht="14.25" thickBot="1" x14ac:dyDescent="0.3">
      <c r="A342" s="247"/>
      <c r="B342" s="157"/>
      <c r="C342" s="157"/>
      <c r="D342" s="157"/>
      <c r="E342" s="226"/>
      <c r="F342" s="167"/>
      <c r="G342" s="167"/>
      <c r="H342" s="168"/>
      <c r="I342" s="168"/>
      <c r="J342" s="168"/>
      <c r="K342" s="170"/>
      <c r="L342" s="248"/>
      <c r="M342" s="248"/>
      <c r="N342" s="248"/>
      <c r="O342" s="248"/>
      <c r="P342" s="248"/>
      <c r="Q342" s="248"/>
      <c r="R342" s="248"/>
      <c r="S342" s="249"/>
      <c r="T342" s="250"/>
      <c r="U342" s="250"/>
      <c r="V342" s="168"/>
      <c r="W342" s="59"/>
      <c r="X342" s="59"/>
      <c r="Y342" s="59"/>
      <c r="Z342" s="86"/>
      <c r="AA342" s="59"/>
      <c r="AB342" s="86"/>
      <c r="AC342" s="224"/>
      <c r="AD342" s="224"/>
      <c r="AE342" s="224"/>
      <c r="AF342" s="224"/>
      <c r="AG342" s="224"/>
      <c r="AH342" s="224"/>
      <c r="AI342" s="224"/>
      <c r="AJ342" s="224"/>
      <c r="AK342" s="208"/>
      <c r="AL342" s="219">
        <f>AL341-AB341</f>
        <v>852</v>
      </c>
    </row>
    <row r="343" spans="1:38" s="219" customFormat="1" ht="14.25" thickBot="1" x14ac:dyDescent="0.3">
      <c r="A343" s="687" t="s">
        <v>124</v>
      </c>
      <c r="B343" s="688"/>
      <c r="C343" s="688"/>
      <c r="D343" s="689"/>
      <c r="E343" s="251"/>
      <c r="F343" s="194">
        <f>G343+H343+I343+J343</f>
        <v>908</v>
      </c>
      <c r="G343" s="139">
        <v>818</v>
      </c>
      <c r="H343" s="140"/>
      <c r="I343" s="140">
        <v>90</v>
      </c>
      <c r="J343" s="140"/>
      <c r="K343" s="252">
        <f t="shared" si="54"/>
        <v>818</v>
      </c>
      <c r="L343" s="154">
        <f t="shared" si="55"/>
        <v>0</v>
      </c>
      <c r="M343" s="154">
        <f t="shared" si="55"/>
        <v>45</v>
      </c>
      <c r="N343" s="154">
        <f t="shared" si="55"/>
        <v>0</v>
      </c>
      <c r="O343" s="253">
        <f t="shared" si="56"/>
        <v>863</v>
      </c>
      <c r="P343" s="254">
        <f t="shared" si="57"/>
        <v>0</v>
      </c>
      <c r="Q343" s="154">
        <f t="shared" si="57"/>
        <v>45</v>
      </c>
      <c r="R343" s="154">
        <f t="shared" si="57"/>
        <v>0</v>
      </c>
      <c r="S343" s="255">
        <f t="shared" si="58"/>
        <v>45</v>
      </c>
      <c r="T343" s="220"/>
      <c r="U343" s="220"/>
      <c r="V343" s="140">
        <f>1324+36</f>
        <v>1360</v>
      </c>
      <c r="W343" s="139"/>
      <c r="X343" s="139"/>
      <c r="Y343" s="139">
        <v>558</v>
      </c>
      <c r="Z343" s="140">
        <v>10444</v>
      </c>
      <c r="AA343" s="139"/>
      <c r="AB343" s="256">
        <f>F343+V343+Y343+Z343</f>
        <v>13270</v>
      </c>
      <c r="AC343" s="224"/>
      <c r="AD343" s="224"/>
      <c r="AE343" s="224"/>
      <c r="AF343" s="224"/>
      <c r="AG343" s="224"/>
      <c r="AH343" s="224"/>
      <c r="AI343" s="224"/>
      <c r="AJ343" s="224"/>
      <c r="AK343" s="208"/>
    </row>
    <row r="344" spans="1:38" s="219" customFormat="1" ht="13.5" x14ac:dyDescent="0.25">
      <c r="A344" s="247"/>
      <c r="B344" s="157"/>
      <c r="C344" s="157"/>
      <c r="D344" s="157"/>
      <c r="E344" s="229"/>
      <c r="F344" s="190"/>
      <c r="G344" s="190"/>
      <c r="H344" s="191"/>
      <c r="I344" s="191"/>
      <c r="J344" s="191"/>
      <c r="K344" s="113"/>
      <c r="L344" s="115"/>
      <c r="M344" s="115"/>
      <c r="N344" s="115"/>
      <c r="O344" s="115"/>
      <c r="P344" s="115"/>
      <c r="Q344" s="115"/>
      <c r="R344" s="115"/>
      <c r="S344" s="114"/>
      <c r="T344" s="226"/>
      <c r="U344" s="226"/>
      <c r="V344" s="191"/>
      <c r="W344" s="59"/>
      <c r="X344" s="59"/>
      <c r="Y344" s="59"/>
      <c r="Z344" s="86"/>
      <c r="AA344" s="59"/>
      <c r="AB344" s="86"/>
      <c r="AC344" s="224"/>
      <c r="AD344" s="224"/>
      <c r="AE344" s="224"/>
      <c r="AF344" s="224"/>
      <c r="AG344" s="224"/>
      <c r="AH344" s="224"/>
      <c r="AI344" s="224"/>
      <c r="AJ344" s="224"/>
      <c r="AK344" s="208"/>
    </row>
    <row r="345" spans="1:38" ht="13.5" x14ac:dyDescent="0.25">
      <c r="A345" s="235"/>
      <c r="B345" s="157" t="s">
        <v>173</v>
      </c>
      <c r="C345" s="157"/>
      <c r="D345" s="157"/>
      <c r="E345" s="204"/>
      <c r="F345" s="123"/>
      <c r="G345" s="123"/>
      <c r="H345" s="118"/>
      <c r="I345" s="118"/>
      <c r="J345" s="118"/>
      <c r="K345" s="123"/>
      <c r="L345" s="124"/>
      <c r="M345" s="124"/>
      <c r="N345" s="124"/>
      <c r="O345" s="124"/>
      <c r="P345" s="124"/>
      <c r="Q345" s="124"/>
      <c r="R345" s="124"/>
      <c r="S345" s="118"/>
      <c r="T345" s="204"/>
      <c r="U345" s="204"/>
      <c r="V345" s="118"/>
      <c r="W345" s="83"/>
      <c r="X345" s="83"/>
      <c r="Y345" s="83"/>
      <c r="Z345" s="76"/>
      <c r="AA345" s="83"/>
      <c r="AB345" s="76"/>
      <c r="AC345" s="80"/>
      <c r="AD345" s="80"/>
      <c r="AE345" s="80"/>
      <c r="AF345" s="80"/>
      <c r="AG345" s="80"/>
      <c r="AH345" s="80"/>
      <c r="AI345" s="80"/>
      <c r="AK345" s="208">
        <f t="shared" ref="AK345:AK395" si="61">O345+S345+T345+W345</f>
        <v>0</v>
      </c>
    </row>
    <row r="346" spans="1:38" ht="13.5" x14ac:dyDescent="0.25">
      <c r="A346" s="257">
        <v>1</v>
      </c>
      <c r="B346" s="203" t="s">
        <v>174</v>
      </c>
      <c r="C346" s="203">
        <v>7</v>
      </c>
      <c r="D346" s="203"/>
      <c r="E346" s="204">
        <f>672.9</f>
        <v>672.9</v>
      </c>
      <c r="F346" s="123">
        <f>2576+E346</f>
        <v>3248.9</v>
      </c>
      <c r="G346" s="123">
        <v>901.9</v>
      </c>
      <c r="H346" s="118">
        <v>663</v>
      </c>
      <c r="I346" s="118">
        <f>211</f>
        <v>211</v>
      </c>
      <c r="J346" s="118">
        <v>1473</v>
      </c>
      <c r="K346" s="123">
        <f>G346</f>
        <v>901.9</v>
      </c>
      <c r="L346" s="124">
        <f t="shared" ref="L346:N361" si="62">H346/2</f>
        <v>331.5</v>
      </c>
      <c r="M346" s="124">
        <f t="shared" si="62"/>
        <v>105.5</v>
      </c>
      <c r="N346" s="124">
        <f t="shared" si="62"/>
        <v>736.5</v>
      </c>
      <c r="O346" s="124">
        <f>SUM(K346:N346)</f>
        <v>2075.4</v>
      </c>
      <c r="P346" s="124">
        <f>H346/2</f>
        <v>331.5</v>
      </c>
      <c r="Q346" s="124">
        <f t="shared" ref="Q346:R361" si="63">I346/2</f>
        <v>105.5</v>
      </c>
      <c r="R346" s="124">
        <f t="shared" si="63"/>
        <v>736.5</v>
      </c>
      <c r="S346" s="118">
        <f>SUM(P346:R346)</f>
        <v>1173.5</v>
      </c>
      <c r="T346" s="204" t="e">
        <f>'[1]убор.пл. ф-8 сост. 01.01.11 г.'!O370+'[1]убор.пл. ф-8 сост. 01.01.11 г.'!P370+'[1]убор.пл. ф-8 сост. 01.01.11 г.'!Q370+'[1]убор.пл. ф-8 сост. 01.01.11 г.'!R370+'[1]убор.пл. ф-8 сост. 01.01.11 г.'!U370+'[1]убор.пл. ф-8 сост. 01.01.11 г.'!V370+'[1]убор.пл. ф-8 сост. 01.01.11 г.'!X370+'[1]убор.пл. ф-8 сост. 01.01.11 г.'!Z370+'[1]убор.пл. ф-8 сост. 01.01.11 г.'!AA370+'[1]убор.пл. ф-8 сост. 01.01.11 г.'!AB370</f>
        <v>#REF!</v>
      </c>
      <c r="U346" s="204"/>
      <c r="V346" s="118">
        <v>1037</v>
      </c>
      <c r="W346" s="123" t="e">
        <f>'[1]убор.пл. ф-8 сост. 01.01.11 г.'!S370+'[1]убор.пл. ф-8 сост. 01.01.11 г.'!W370+'[1]убор.пл. ф-8 сост. 01.01.11 г.'!AC370+'[1]убор.пл. ф-8 сост. 01.01.11 г.'!AD370</f>
        <v>#REF!</v>
      </c>
      <c r="X346" s="123"/>
      <c r="Y346" s="123">
        <f>9048-E346</f>
        <v>8375.1</v>
      </c>
      <c r="Z346" s="118"/>
      <c r="AA346" s="123">
        <v>32</v>
      </c>
      <c r="AB346" s="118">
        <v>12661</v>
      </c>
      <c r="AC346" s="206"/>
      <c r="AD346" s="206">
        <f t="shared" ref="AD346:AD395" si="64">O346-AC346</f>
        <v>2075.4</v>
      </c>
      <c r="AE346" s="206"/>
      <c r="AF346" s="206" t="e">
        <f>#REF!-AE346</f>
        <v>#REF!</v>
      </c>
      <c r="AG346" s="206"/>
      <c r="AH346" s="206" t="e">
        <f>#REF!-AG346</f>
        <v>#REF!</v>
      </c>
      <c r="AI346" s="206">
        <v>32</v>
      </c>
      <c r="AJ346" s="258"/>
      <c r="AK346" s="208" t="e">
        <f t="shared" si="61"/>
        <v>#REF!</v>
      </c>
    </row>
    <row r="347" spans="1:38" ht="13.5" x14ac:dyDescent="0.25">
      <c r="A347" s="257">
        <v>2</v>
      </c>
      <c r="B347" s="122" t="s">
        <v>174</v>
      </c>
      <c r="C347" s="122">
        <v>11</v>
      </c>
      <c r="D347" s="122"/>
      <c r="E347" s="204"/>
      <c r="F347" s="123">
        <v>1298</v>
      </c>
      <c r="G347" s="123">
        <f>195+138</f>
        <v>333</v>
      </c>
      <c r="H347" s="118">
        <v>93</v>
      </c>
      <c r="I347" s="118">
        <f>621-138</f>
        <v>483</v>
      </c>
      <c r="J347" s="118">
        <v>389</v>
      </c>
      <c r="K347" s="123">
        <f t="shared" ref="K347:K395" si="65">G347</f>
        <v>333</v>
      </c>
      <c r="L347" s="124">
        <f t="shared" si="62"/>
        <v>46.5</v>
      </c>
      <c r="M347" s="124">
        <f t="shared" si="62"/>
        <v>241.5</v>
      </c>
      <c r="N347" s="124">
        <f t="shared" si="62"/>
        <v>194.5</v>
      </c>
      <c r="O347" s="124">
        <f t="shared" ref="O347:O395" si="66">SUM(K347:N347)</f>
        <v>815.5</v>
      </c>
      <c r="P347" s="124">
        <f t="shared" ref="P347:R395" si="67">H347/2</f>
        <v>46.5</v>
      </c>
      <c r="Q347" s="124">
        <f t="shared" si="63"/>
        <v>241.5</v>
      </c>
      <c r="R347" s="124">
        <f t="shared" si="63"/>
        <v>194.5</v>
      </c>
      <c r="S347" s="118">
        <f t="shared" ref="S347:S395" si="68">SUM(P347:R347)</f>
        <v>482.5</v>
      </c>
      <c r="T347" s="204" t="e">
        <f>'[1]убор.пл. ф-8 сост. 01.01.11 г.'!O371+'[1]убор.пл. ф-8 сост. 01.01.11 г.'!P371+'[1]убор.пл. ф-8 сост. 01.01.11 г.'!Q371+'[1]убор.пл. ф-8 сост. 01.01.11 г.'!R371+'[1]убор.пл. ф-8 сост. 01.01.11 г.'!U371+'[1]убор.пл. ф-8 сост. 01.01.11 г.'!V371+'[1]убор.пл. ф-8 сост. 01.01.11 г.'!X371+'[1]убор.пл. ф-8 сост. 01.01.11 г.'!Z371+'[1]убор.пл. ф-8 сост. 01.01.11 г.'!AA371+'[1]убор.пл. ф-8 сост. 01.01.11 г.'!AB371</f>
        <v>#REF!</v>
      </c>
      <c r="U347" s="204"/>
      <c r="V347" s="118"/>
      <c r="W347" s="123" t="e">
        <f>'[1]убор.пл. ф-8 сост. 01.01.11 г.'!S371+'[1]убор.пл. ф-8 сост. 01.01.11 г.'!W371+'[1]убор.пл. ф-8 сост. 01.01.11 г.'!AC371+'[1]убор.пл. ф-8 сост. 01.01.11 г.'!AD371</f>
        <v>#REF!</v>
      </c>
      <c r="X347" s="123"/>
      <c r="Y347" s="123">
        <v>3106</v>
      </c>
      <c r="Z347" s="118"/>
      <c r="AA347" s="123"/>
      <c r="AB347" s="118">
        <v>4404</v>
      </c>
      <c r="AC347" s="206">
        <v>30</v>
      </c>
      <c r="AD347" s="206">
        <f t="shared" si="64"/>
        <v>785.5</v>
      </c>
      <c r="AE347" s="206"/>
      <c r="AF347" s="206" t="e">
        <f>#REF!-AE347</f>
        <v>#REF!</v>
      </c>
      <c r="AG347" s="206"/>
      <c r="AH347" s="206" t="e">
        <f>#REF!-AG347</f>
        <v>#REF!</v>
      </c>
      <c r="AI347" s="206"/>
      <c r="AJ347" s="258"/>
      <c r="AK347" s="208" t="e">
        <f t="shared" si="61"/>
        <v>#REF!</v>
      </c>
    </row>
    <row r="348" spans="1:38" ht="13.5" x14ac:dyDescent="0.25">
      <c r="A348" s="257">
        <v>3</v>
      </c>
      <c r="B348" s="122" t="s">
        <v>174</v>
      </c>
      <c r="C348" s="122">
        <v>13</v>
      </c>
      <c r="D348" s="122"/>
      <c r="E348" s="204"/>
      <c r="F348" s="123">
        <v>1485</v>
      </c>
      <c r="G348" s="123">
        <f>195+103</f>
        <v>298</v>
      </c>
      <c r="H348" s="118">
        <v>93</v>
      </c>
      <c r="I348" s="118">
        <f>715-103</f>
        <v>612</v>
      </c>
      <c r="J348" s="118">
        <v>482</v>
      </c>
      <c r="K348" s="123">
        <f t="shared" si="65"/>
        <v>298</v>
      </c>
      <c r="L348" s="124">
        <f t="shared" si="62"/>
        <v>46.5</v>
      </c>
      <c r="M348" s="124">
        <f t="shared" si="62"/>
        <v>306</v>
      </c>
      <c r="N348" s="124">
        <f t="shared" si="62"/>
        <v>241</v>
      </c>
      <c r="O348" s="124">
        <f t="shared" si="66"/>
        <v>891.5</v>
      </c>
      <c r="P348" s="124">
        <f t="shared" si="67"/>
        <v>46.5</v>
      </c>
      <c r="Q348" s="124">
        <f t="shared" si="63"/>
        <v>306</v>
      </c>
      <c r="R348" s="124">
        <f t="shared" si="63"/>
        <v>241</v>
      </c>
      <c r="S348" s="118">
        <f t="shared" si="68"/>
        <v>593.5</v>
      </c>
      <c r="T348" s="204" t="e">
        <f>'[1]убор.пл. ф-8 сост. 01.01.11 г.'!O372+'[1]убор.пл. ф-8 сост. 01.01.11 г.'!P372+'[1]убор.пл. ф-8 сост. 01.01.11 г.'!Q372+'[1]убор.пл. ф-8 сост. 01.01.11 г.'!R372+'[1]убор.пл. ф-8 сост. 01.01.11 г.'!U372+'[1]убор.пл. ф-8 сост. 01.01.11 г.'!V372+'[1]убор.пл. ф-8 сост. 01.01.11 г.'!X372+'[1]убор.пл. ф-8 сост. 01.01.11 г.'!Z372+'[1]убор.пл. ф-8 сост. 01.01.11 г.'!AA372+'[1]убор.пл. ф-8 сост. 01.01.11 г.'!AB372</f>
        <v>#REF!</v>
      </c>
      <c r="U348" s="204"/>
      <c r="V348" s="118"/>
      <c r="W348" s="123" t="e">
        <f>'[1]убор.пл. ф-8 сост. 01.01.11 г.'!S372+'[1]убор.пл. ф-8 сост. 01.01.11 г.'!W372+'[1]убор.пл. ф-8 сост. 01.01.11 г.'!AC372+'[1]убор.пл. ф-8 сост. 01.01.11 г.'!AD372</f>
        <v>#REF!</v>
      </c>
      <c r="X348" s="123"/>
      <c r="Y348" s="123">
        <v>4096</v>
      </c>
      <c r="Z348" s="118"/>
      <c r="AA348" s="123"/>
      <c r="AB348" s="118">
        <v>5581</v>
      </c>
      <c r="AC348" s="206">
        <v>40</v>
      </c>
      <c r="AD348" s="206">
        <f t="shared" si="64"/>
        <v>851.5</v>
      </c>
      <c r="AE348" s="206"/>
      <c r="AF348" s="206" t="e">
        <f>#REF!-AE348</f>
        <v>#REF!</v>
      </c>
      <c r="AG348" s="206"/>
      <c r="AH348" s="206" t="e">
        <f>#REF!-AG348</f>
        <v>#REF!</v>
      </c>
      <c r="AI348" s="206"/>
      <c r="AJ348" s="258"/>
      <c r="AK348" s="208" t="e">
        <f t="shared" si="61"/>
        <v>#REF!</v>
      </c>
    </row>
    <row r="349" spans="1:38" ht="13.5" x14ac:dyDescent="0.25">
      <c r="A349" s="257">
        <v>4</v>
      </c>
      <c r="B349" s="122" t="s">
        <v>174</v>
      </c>
      <c r="C349" s="122">
        <v>15</v>
      </c>
      <c r="D349" s="122"/>
      <c r="E349" s="204"/>
      <c r="F349" s="123">
        <v>1235</v>
      </c>
      <c r="G349" s="123">
        <f>219+55</f>
        <v>274</v>
      </c>
      <c r="H349" s="118">
        <v>254</v>
      </c>
      <c r="I349" s="118">
        <f>521-55</f>
        <v>466</v>
      </c>
      <c r="J349" s="118">
        <v>241</v>
      </c>
      <c r="K349" s="123">
        <f t="shared" si="65"/>
        <v>274</v>
      </c>
      <c r="L349" s="124">
        <f t="shared" si="62"/>
        <v>127</v>
      </c>
      <c r="M349" s="124">
        <f t="shared" si="62"/>
        <v>233</v>
      </c>
      <c r="N349" s="124">
        <f t="shared" si="62"/>
        <v>120.5</v>
      </c>
      <c r="O349" s="124">
        <f t="shared" si="66"/>
        <v>754.5</v>
      </c>
      <c r="P349" s="124">
        <f t="shared" si="67"/>
        <v>127</v>
      </c>
      <c r="Q349" s="124">
        <f t="shared" si="63"/>
        <v>233</v>
      </c>
      <c r="R349" s="124">
        <f t="shared" si="63"/>
        <v>120.5</v>
      </c>
      <c r="S349" s="118">
        <f t="shared" si="68"/>
        <v>480.5</v>
      </c>
      <c r="T349" s="204" t="e">
        <f>'[1]убор.пл. ф-8 сост. 01.01.11 г.'!O373+'[1]убор.пл. ф-8 сост. 01.01.11 г.'!P373+'[1]убор.пл. ф-8 сост. 01.01.11 г.'!Q373+'[1]убор.пл. ф-8 сост. 01.01.11 г.'!R373+'[1]убор.пл. ф-8 сост. 01.01.11 г.'!U373+'[1]убор.пл. ф-8 сост. 01.01.11 г.'!V373+'[1]убор.пл. ф-8 сост. 01.01.11 г.'!X373+'[1]убор.пл. ф-8 сост. 01.01.11 г.'!Z373+'[1]убор.пл. ф-8 сост. 01.01.11 г.'!AA373+'[1]убор.пл. ф-8 сост. 01.01.11 г.'!AB373</f>
        <v>#REF!</v>
      </c>
      <c r="U349" s="204"/>
      <c r="V349" s="118">
        <v>259</v>
      </c>
      <c r="W349" s="123" t="e">
        <f>'[1]убор.пл. ф-8 сост. 01.01.11 г.'!S373+'[1]убор.пл. ф-8 сост. 01.01.11 г.'!W373+'[1]убор.пл. ф-8 сост. 01.01.11 г.'!AC373+'[1]убор.пл. ф-8 сост. 01.01.11 г.'!AD373</f>
        <v>#REF!</v>
      </c>
      <c r="X349" s="123"/>
      <c r="Y349" s="123">
        <v>4723</v>
      </c>
      <c r="Z349" s="118"/>
      <c r="AA349" s="123"/>
      <c r="AB349" s="118">
        <v>6217</v>
      </c>
      <c r="AC349" s="206"/>
      <c r="AD349" s="206">
        <f t="shared" si="64"/>
        <v>754.5</v>
      </c>
      <c r="AE349" s="206"/>
      <c r="AF349" s="206" t="e">
        <f>#REF!-AE349</f>
        <v>#REF!</v>
      </c>
      <c r="AG349" s="206">
        <v>20</v>
      </c>
      <c r="AH349" s="206" t="e">
        <f>#REF!-AG349</f>
        <v>#REF!</v>
      </c>
      <c r="AI349" s="206"/>
      <c r="AJ349" s="258"/>
      <c r="AK349" s="208" t="e">
        <f t="shared" si="61"/>
        <v>#REF!</v>
      </c>
    </row>
    <row r="350" spans="1:38" ht="13.5" x14ac:dyDescent="0.25">
      <c r="A350" s="257">
        <v>5</v>
      </c>
      <c r="B350" s="122" t="s">
        <v>174</v>
      </c>
      <c r="C350" s="122">
        <v>17</v>
      </c>
      <c r="D350" s="122">
        <v>1</v>
      </c>
      <c r="E350" s="204">
        <f>200.68</f>
        <v>200.68</v>
      </c>
      <c r="F350" s="123">
        <f>6881+E350</f>
        <v>7081.68</v>
      </c>
      <c r="G350" s="123">
        <v>1197.68</v>
      </c>
      <c r="H350" s="118">
        <v>1349</v>
      </c>
      <c r="I350" s="118">
        <f>4329-330</f>
        <v>3999</v>
      </c>
      <c r="J350" s="118">
        <v>536</v>
      </c>
      <c r="K350" s="123">
        <f t="shared" si="65"/>
        <v>1197.68</v>
      </c>
      <c r="L350" s="124">
        <f t="shared" si="62"/>
        <v>674.5</v>
      </c>
      <c r="M350" s="124">
        <f t="shared" si="62"/>
        <v>1999.5</v>
      </c>
      <c r="N350" s="124">
        <f t="shared" si="62"/>
        <v>268</v>
      </c>
      <c r="O350" s="124">
        <f t="shared" si="66"/>
        <v>4139.68</v>
      </c>
      <c r="P350" s="124">
        <f t="shared" si="67"/>
        <v>674.5</v>
      </c>
      <c r="Q350" s="124">
        <f t="shared" si="63"/>
        <v>1999.5</v>
      </c>
      <c r="R350" s="124">
        <f t="shared" si="63"/>
        <v>268</v>
      </c>
      <c r="S350" s="118">
        <f t="shared" si="68"/>
        <v>2942</v>
      </c>
      <c r="T350" s="259">
        <f>1320-191+191</f>
        <v>1320</v>
      </c>
      <c r="U350" s="204"/>
      <c r="V350" s="118">
        <v>1320</v>
      </c>
      <c r="W350" s="123" t="e">
        <f>'[1]убор.пл. ф-8 сост. 01.01.11 г.'!S374+'[1]убор.пл. ф-8 сост. 01.01.11 г.'!W374+'[1]убор.пл. ф-8 сост. 01.01.11 г.'!AC374+'[1]убор.пл. ф-8 сост. 01.01.11 г.'!AD374</f>
        <v>#REF!</v>
      </c>
      <c r="X350" s="123"/>
      <c r="Y350" s="123">
        <f>10989-E350</f>
        <v>10788.32</v>
      </c>
      <c r="Z350" s="118"/>
      <c r="AA350" s="123">
        <v>19</v>
      </c>
      <c r="AB350" s="118">
        <v>19190</v>
      </c>
      <c r="AC350" s="206">
        <v>100</v>
      </c>
      <c r="AD350" s="206">
        <f t="shared" si="64"/>
        <v>4039.6800000000003</v>
      </c>
      <c r="AE350" s="206"/>
      <c r="AF350" s="206" t="e">
        <f>#REF!-AE350</f>
        <v>#REF!</v>
      </c>
      <c r="AG350" s="206">
        <v>190</v>
      </c>
      <c r="AH350" s="206" t="e">
        <f>#REF!-AG350</f>
        <v>#REF!</v>
      </c>
      <c r="AI350" s="206">
        <v>19</v>
      </c>
      <c r="AJ350" s="258"/>
      <c r="AK350" s="208" t="e">
        <f t="shared" si="61"/>
        <v>#REF!</v>
      </c>
    </row>
    <row r="351" spans="1:38" ht="13.5" x14ac:dyDescent="0.25">
      <c r="A351" s="257">
        <v>6</v>
      </c>
      <c r="B351" s="122" t="s">
        <v>174</v>
      </c>
      <c r="C351" s="122">
        <v>19</v>
      </c>
      <c r="D351" s="122"/>
      <c r="E351" s="204"/>
      <c r="F351" s="123">
        <v>2893</v>
      </c>
      <c r="G351" s="123">
        <f>300+415</f>
        <v>715</v>
      </c>
      <c r="H351" s="118">
        <v>775</v>
      </c>
      <c r="I351" s="118">
        <v>679</v>
      </c>
      <c r="J351" s="118">
        <f>1139-415</f>
        <v>724</v>
      </c>
      <c r="K351" s="123">
        <f t="shared" si="65"/>
        <v>715</v>
      </c>
      <c r="L351" s="124">
        <f t="shared" si="62"/>
        <v>387.5</v>
      </c>
      <c r="M351" s="124">
        <f t="shared" si="62"/>
        <v>339.5</v>
      </c>
      <c r="N351" s="124">
        <f t="shared" si="62"/>
        <v>362</v>
      </c>
      <c r="O351" s="124">
        <f t="shared" si="66"/>
        <v>1804</v>
      </c>
      <c r="P351" s="124">
        <f t="shared" si="67"/>
        <v>387.5</v>
      </c>
      <c r="Q351" s="124">
        <f t="shared" si="63"/>
        <v>339.5</v>
      </c>
      <c r="R351" s="124">
        <f t="shared" si="63"/>
        <v>362</v>
      </c>
      <c r="S351" s="118">
        <f t="shared" si="68"/>
        <v>1089</v>
      </c>
      <c r="T351" s="204">
        <v>321</v>
      </c>
      <c r="U351" s="204"/>
      <c r="V351" s="118">
        <v>321</v>
      </c>
      <c r="W351" s="123" t="e">
        <f>'[1]убор.пл. ф-8 сост. 01.01.11 г.'!S375+'[1]убор.пл. ф-8 сост. 01.01.11 г.'!W375+'[1]убор.пл. ф-8 сост. 01.01.11 г.'!AC375+'[1]убор.пл. ф-8 сост. 01.01.11 г.'!AD375</f>
        <v>#REF!</v>
      </c>
      <c r="X351" s="123"/>
      <c r="Y351" s="123">
        <v>6599</v>
      </c>
      <c r="Z351" s="118"/>
      <c r="AA351" s="123">
        <v>22</v>
      </c>
      <c r="AB351" s="118">
        <v>9813</v>
      </c>
      <c r="AC351" s="206"/>
      <c r="AD351" s="206">
        <f t="shared" si="64"/>
        <v>1804</v>
      </c>
      <c r="AE351" s="206"/>
      <c r="AF351" s="206" t="e">
        <f>#REF!-AE351</f>
        <v>#REF!</v>
      </c>
      <c r="AG351" s="206"/>
      <c r="AH351" s="206" t="e">
        <f>#REF!-AG351</f>
        <v>#REF!</v>
      </c>
      <c r="AI351" s="206">
        <v>22</v>
      </c>
      <c r="AJ351" s="258"/>
      <c r="AK351" s="208" t="e">
        <f t="shared" si="61"/>
        <v>#REF!</v>
      </c>
    </row>
    <row r="352" spans="1:38" ht="13.5" x14ac:dyDescent="0.25">
      <c r="A352" s="257">
        <v>7</v>
      </c>
      <c r="B352" s="122" t="s">
        <v>174</v>
      </c>
      <c r="C352" s="122">
        <v>23</v>
      </c>
      <c r="D352" s="122"/>
      <c r="E352" s="204">
        <f>160.25+167.93+42.75</f>
        <v>370.93</v>
      </c>
      <c r="F352" s="123">
        <f>1205+E352</f>
        <v>1575.93</v>
      </c>
      <c r="G352" s="123">
        <f>246+E352</f>
        <v>616.93000000000006</v>
      </c>
      <c r="H352" s="118">
        <v>140</v>
      </c>
      <c r="I352" s="118">
        <v>488</v>
      </c>
      <c r="J352" s="118">
        <v>331</v>
      </c>
      <c r="K352" s="123">
        <f t="shared" si="65"/>
        <v>616.93000000000006</v>
      </c>
      <c r="L352" s="124">
        <f t="shared" si="62"/>
        <v>70</v>
      </c>
      <c r="M352" s="124">
        <f t="shared" si="62"/>
        <v>244</v>
      </c>
      <c r="N352" s="124">
        <f t="shared" si="62"/>
        <v>165.5</v>
      </c>
      <c r="O352" s="124">
        <f t="shared" si="66"/>
        <v>1096.43</v>
      </c>
      <c r="P352" s="124">
        <f t="shared" si="67"/>
        <v>70</v>
      </c>
      <c r="Q352" s="124">
        <f t="shared" si="63"/>
        <v>244</v>
      </c>
      <c r="R352" s="124">
        <f t="shared" si="63"/>
        <v>165.5</v>
      </c>
      <c r="S352" s="118">
        <f t="shared" si="68"/>
        <v>479.5</v>
      </c>
      <c r="T352" s="204" t="e">
        <f>'[1]убор.пл. ф-8 сост. 01.01.11 г.'!O376+'[1]убор.пл. ф-8 сост. 01.01.11 г.'!P376+'[1]убор.пл. ф-8 сост. 01.01.11 г.'!Q376+'[1]убор.пл. ф-8 сост. 01.01.11 г.'!R376+'[1]убор.пл. ф-8 сост. 01.01.11 г.'!U376+'[1]убор.пл. ф-8 сост. 01.01.11 г.'!V376+'[1]убор.пл. ф-8 сост. 01.01.11 г.'!X376+'[1]убор.пл. ф-8 сост. 01.01.11 г.'!Z376+'[1]убор.пл. ф-8 сост. 01.01.11 г.'!AA376+'[1]убор.пл. ф-8 сост. 01.01.11 г.'!AB376</f>
        <v>#REF!</v>
      </c>
      <c r="U352" s="204"/>
      <c r="V352" s="118">
        <v>271</v>
      </c>
      <c r="W352" s="123" t="e">
        <f>'[1]убор.пл. ф-8 сост. 01.01.11 г.'!S376+'[1]убор.пл. ф-8 сост. 01.01.11 г.'!W376+'[1]убор.пл. ф-8 сост. 01.01.11 г.'!AC376+'[1]убор.пл. ф-8 сост. 01.01.11 г.'!AD376</f>
        <v>#REF!</v>
      </c>
      <c r="X352" s="123"/>
      <c r="Y352" s="123">
        <f>3951-E352</f>
        <v>3580.07</v>
      </c>
      <c r="Z352" s="118"/>
      <c r="AA352" s="123"/>
      <c r="AB352" s="118">
        <v>5427</v>
      </c>
      <c r="AC352" s="206"/>
      <c r="AD352" s="206">
        <f t="shared" si="64"/>
        <v>1096.43</v>
      </c>
      <c r="AE352" s="206"/>
      <c r="AF352" s="206" t="e">
        <f>#REF!-AE352</f>
        <v>#REF!</v>
      </c>
      <c r="AG352" s="206"/>
      <c r="AH352" s="206" t="e">
        <f>#REF!-AG352</f>
        <v>#REF!</v>
      </c>
      <c r="AI352" s="206"/>
      <c r="AJ352" s="258"/>
      <c r="AK352" s="208" t="e">
        <f t="shared" si="61"/>
        <v>#REF!</v>
      </c>
    </row>
    <row r="353" spans="1:37" ht="13.5" x14ac:dyDescent="0.25">
      <c r="A353" s="257">
        <v>8</v>
      </c>
      <c r="B353" s="122" t="s">
        <v>174</v>
      </c>
      <c r="C353" s="122">
        <v>25</v>
      </c>
      <c r="D353" s="122">
        <v>1</v>
      </c>
      <c r="E353" s="204">
        <f>95+127.2+67.16+55</f>
        <v>344.36</v>
      </c>
      <c r="F353" s="123">
        <f>1080+E353</f>
        <v>1424.3600000000001</v>
      </c>
      <c r="G353" s="123">
        <f>211+E353</f>
        <v>555.36</v>
      </c>
      <c r="H353" s="118">
        <v>166</v>
      </c>
      <c r="I353" s="118">
        <v>463</v>
      </c>
      <c r="J353" s="118">
        <v>240</v>
      </c>
      <c r="K353" s="123">
        <f t="shared" si="65"/>
        <v>555.36</v>
      </c>
      <c r="L353" s="124">
        <f t="shared" si="62"/>
        <v>83</v>
      </c>
      <c r="M353" s="124">
        <f t="shared" si="62"/>
        <v>231.5</v>
      </c>
      <c r="N353" s="124">
        <f t="shared" si="62"/>
        <v>120</v>
      </c>
      <c r="O353" s="124">
        <f t="shared" si="66"/>
        <v>989.86</v>
      </c>
      <c r="P353" s="124">
        <f t="shared" si="67"/>
        <v>83</v>
      </c>
      <c r="Q353" s="124">
        <f t="shared" si="63"/>
        <v>231.5</v>
      </c>
      <c r="R353" s="124">
        <f t="shared" si="63"/>
        <v>120</v>
      </c>
      <c r="S353" s="118">
        <f t="shared" si="68"/>
        <v>434.5</v>
      </c>
      <c r="T353" s="204">
        <v>591</v>
      </c>
      <c r="U353" s="204"/>
      <c r="V353" s="118">
        <v>591</v>
      </c>
      <c r="W353" s="123" t="e">
        <f>'[1]убор.пл. ф-8 сост. 01.01.11 г.'!S377+'[1]убор.пл. ф-8 сост. 01.01.11 г.'!W377+'[1]убор.пл. ф-8 сост. 01.01.11 г.'!AC377+'[1]убор.пл. ф-8 сост. 01.01.11 г.'!AD377</f>
        <v>#REF!</v>
      </c>
      <c r="X353" s="123"/>
      <c r="Y353" s="123">
        <f>2115-E353</f>
        <v>1770.6399999999999</v>
      </c>
      <c r="Z353" s="118"/>
      <c r="AA353" s="123"/>
      <c r="AB353" s="118">
        <v>3786</v>
      </c>
      <c r="AC353" s="206">
        <v>40</v>
      </c>
      <c r="AD353" s="206">
        <f t="shared" si="64"/>
        <v>949.86</v>
      </c>
      <c r="AE353" s="206"/>
      <c r="AF353" s="206" t="e">
        <f>#REF!-AE353</f>
        <v>#REF!</v>
      </c>
      <c r="AG353" s="206"/>
      <c r="AH353" s="206" t="e">
        <f>#REF!-AG353</f>
        <v>#REF!</v>
      </c>
      <c r="AI353" s="206"/>
      <c r="AJ353" s="258"/>
      <c r="AK353" s="208" t="e">
        <f t="shared" si="61"/>
        <v>#REF!</v>
      </c>
    </row>
    <row r="354" spans="1:37" ht="13.5" x14ac:dyDescent="0.25">
      <c r="A354" s="257">
        <v>9</v>
      </c>
      <c r="B354" s="122" t="s">
        <v>174</v>
      </c>
      <c r="C354" s="122">
        <v>25</v>
      </c>
      <c r="D354" s="122">
        <v>2</v>
      </c>
      <c r="E354" s="204">
        <f>94.17+140</f>
        <v>234.17000000000002</v>
      </c>
      <c r="F354" s="123">
        <f>2117+E354</f>
        <v>2351.17</v>
      </c>
      <c r="G354" s="123">
        <f>436+E354</f>
        <v>670.17000000000007</v>
      </c>
      <c r="H354" s="118">
        <v>573</v>
      </c>
      <c r="I354" s="118">
        <f>785-209</f>
        <v>576</v>
      </c>
      <c r="J354" s="118">
        <v>532</v>
      </c>
      <c r="K354" s="123">
        <f t="shared" si="65"/>
        <v>670.17000000000007</v>
      </c>
      <c r="L354" s="124">
        <f t="shared" si="62"/>
        <v>286.5</v>
      </c>
      <c r="M354" s="124">
        <f t="shared" si="62"/>
        <v>288</v>
      </c>
      <c r="N354" s="124">
        <f t="shared" si="62"/>
        <v>266</v>
      </c>
      <c r="O354" s="124">
        <f t="shared" si="66"/>
        <v>1510.67</v>
      </c>
      <c r="P354" s="124">
        <f t="shared" si="67"/>
        <v>286.5</v>
      </c>
      <c r="Q354" s="124">
        <f t="shared" si="63"/>
        <v>288</v>
      </c>
      <c r="R354" s="124">
        <f t="shared" si="63"/>
        <v>266</v>
      </c>
      <c r="S354" s="118">
        <f t="shared" si="68"/>
        <v>840.5</v>
      </c>
      <c r="T354" s="204">
        <v>738</v>
      </c>
      <c r="U354" s="204"/>
      <c r="V354" s="118">
        <v>738</v>
      </c>
      <c r="W354" s="123" t="e">
        <f>'[1]убор.пл. ф-8 сост. 01.01.11 г.'!S378+'[1]убор.пл. ф-8 сост. 01.01.11 г.'!W378+'[1]убор.пл. ф-8 сост. 01.01.11 г.'!AC378+'[1]убор.пл. ф-8 сост. 01.01.11 г.'!AD378</f>
        <v>#REF!</v>
      </c>
      <c r="X354" s="123"/>
      <c r="Y354" s="123">
        <f>7927-E354</f>
        <v>7692.83</v>
      </c>
      <c r="Z354" s="118">
        <v>81</v>
      </c>
      <c r="AA354" s="123"/>
      <c r="AB354" s="118">
        <v>10863</v>
      </c>
      <c r="AC354" s="206">
        <v>30</v>
      </c>
      <c r="AD354" s="206">
        <f t="shared" si="64"/>
        <v>1480.67</v>
      </c>
      <c r="AE354" s="206"/>
      <c r="AF354" s="206" t="e">
        <f>#REF!-AE354</f>
        <v>#REF!</v>
      </c>
      <c r="AG354" s="206">
        <v>40</v>
      </c>
      <c r="AH354" s="206" t="e">
        <f>#REF!-AG354</f>
        <v>#REF!</v>
      </c>
      <c r="AI354" s="206"/>
      <c r="AJ354" s="258"/>
      <c r="AK354" s="208" t="e">
        <f t="shared" si="61"/>
        <v>#REF!</v>
      </c>
    </row>
    <row r="355" spans="1:37" ht="13.5" x14ac:dyDescent="0.25">
      <c r="A355" s="257">
        <v>10</v>
      </c>
      <c r="B355" s="122" t="s">
        <v>174</v>
      </c>
      <c r="C355" s="122">
        <v>27</v>
      </c>
      <c r="D355" s="122"/>
      <c r="E355" s="204">
        <f>250.3</f>
        <v>250.3</v>
      </c>
      <c r="F355" s="123">
        <f>2042+E355</f>
        <v>2292.3000000000002</v>
      </c>
      <c r="G355" s="123">
        <f>213+E355</f>
        <v>463.3</v>
      </c>
      <c r="H355" s="118">
        <v>208</v>
      </c>
      <c r="I355" s="118">
        <v>1311</v>
      </c>
      <c r="J355" s="118">
        <v>310</v>
      </c>
      <c r="K355" s="123">
        <f t="shared" si="65"/>
        <v>463.3</v>
      </c>
      <c r="L355" s="124">
        <f t="shared" si="62"/>
        <v>104</v>
      </c>
      <c r="M355" s="124">
        <f t="shared" si="62"/>
        <v>655.5</v>
      </c>
      <c r="N355" s="124">
        <f t="shared" si="62"/>
        <v>155</v>
      </c>
      <c r="O355" s="124">
        <f t="shared" si="66"/>
        <v>1377.8</v>
      </c>
      <c r="P355" s="124">
        <f t="shared" si="67"/>
        <v>104</v>
      </c>
      <c r="Q355" s="124">
        <f t="shared" si="63"/>
        <v>655.5</v>
      </c>
      <c r="R355" s="124">
        <f t="shared" si="63"/>
        <v>155</v>
      </c>
      <c r="S355" s="118">
        <f t="shared" si="68"/>
        <v>914.5</v>
      </c>
      <c r="T355" s="204">
        <v>271</v>
      </c>
      <c r="U355" s="204"/>
      <c r="V355" s="118">
        <v>271</v>
      </c>
      <c r="W355" s="123" t="e">
        <f>'[1]убор.пл. ф-8 сост. 01.01.11 г.'!S379+'[1]убор.пл. ф-8 сост. 01.01.11 г.'!W379+'[1]убор.пл. ф-8 сост. 01.01.11 г.'!AC379+'[1]убор.пл. ф-8 сост. 01.01.11 г.'!AD379</f>
        <v>#REF!</v>
      </c>
      <c r="X355" s="123"/>
      <c r="Y355" s="123">
        <f>7539-E355</f>
        <v>7288.7</v>
      </c>
      <c r="Z355" s="118">
        <v>71</v>
      </c>
      <c r="AA355" s="123"/>
      <c r="AB355" s="118">
        <v>9923</v>
      </c>
      <c r="AC355" s="206">
        <v>50</v>
      </c>
      <c r="AD355" s="206">
        <f t="shared" si="64"/>
        <v>1327.8</v>
      </c>
      <c r="AE355" s="206"/>
      <c r="AF355" s="206" t="e">
        <f>#REF!-AE355</f>
        <v>#REF!</v>
      </c>
      <c r="AG355" s="206">
        <v>10</v>
      </c>
      <c r="AH355" s="206" t="e">
        <f>#REF!-AG355</f>
        <v>#REF!</v>
      </c>
      <c r="AI355" s="206"/>
      <c r="AJ355" s="258"/>
      <c r="AK355" s="208" t="e">
        <f t="shared" si="61"/>
        <v>#REF!</v>
      </c>
    </row>
    <row r="356" spans="1:37" ht="13.5" x14ac:dyDescent="0.25">
      <c r="A356" s="257">
        <v>11</v>
      </c>
      <c r="B356" s="122" t="s">
        <v>174</v>
      </c>
      <c r="C356" s="122">
        <v>29</v>
      </c>
      <c r="D356" s="122"/>
      <c r="E356" s="204"/>
      <c r="F356" s="123">
        <v>2028</v>
      </c>
      <c r="G356" s="123"/>
      <c r="H356" s="118">
        <v>549</v>
      </c>
      <c r="I356" s="118">
        <v>718</v>
      </c>
      <c r="J356" s="118">
        <v>761</v>
      </c>
      <c r="K356" s="123">
        <f t="shared" si="65"/>
        <v>0</v>
      </c>
      <c r="L356" s="124">
        <f t="shared" si="62"/>
        <v>274.5</v>
      </c>
      <c r="M356" s="124">
        <f t="shared" si="62"/>
        <v>359</v>
      </c>
      <c r="N356" s="124">
        <f t="shared" si="62"/>
        <v>380.5</v>
      </c>
      <c r="O356" s="124">
        <f t="shared" si="66"/>
        <v>1014</v>
      </c>
      <c r="P356" s="124">
        <f t="shared" si="67"/>
        <v>274.5</v>
      </c>
      <c r="Q356" s="124">
        <f t="shared" si="63"/>
        <v>359</v>
      </c>
      <c r="R356" s="124">
        <f t="shared" si="63"/>
        <v>380.5</v>
      </c>
      <c r="S356" s="118">
        <f t="shared" si="68"/>
        <v>1014</v>
      </c>
      <c r="T356" s="204">
        <v>189</v>
      </c>
      <c r="U356" s="204"/>
      <c r="V356" s="118">
        <v>189</v>
      </c>
      <c r="W356" s="123" t="e">
        <f>'[1]убор.пл. ф-8 сост. 01.01.11 г.'!S380+'[1]убор.пл. ф-8 сост. 01.01.11 г.'!W380+'[1]убор.пл. ф-8 сост. 01.01.11 г.'!AC380+'[1]убор.пл. ф-8 сост. 01.01.11 г.'!AD380</f>
        <v>#REF!</v>
      </c>
      <c r="X356" s="123"/>
      <c r="Y356" s="123">
        <v>920</v>
      </c>
      <c r="Z356" s="118"/>
      <c r="AA356" s="123">
        <v>19</v>
      </c>
      <c r="AB356" s="118">
        <v>3137</v>
      </c>
      <c r="AC356" s="206"/>
      <c r="AD356" s="206">
        <f t="shared" si="64"/>
        <v>1014</v>
      </c>
      <c r="AE356" s="206"/>
      <c r="AF356" s="206" t="e">
        <f>#REF!-AE356</f>
        <v>#REF!</v>
      </c>
      <c r="AG356" s="206"/>
      <c r="AH356" s="206" t="e">
        <f>#REF!-AG356</f>
        <v>#REF!</v>
      </c>
      <c r="AI356" s="206">
        <v>19</v>
      </c>
      <c r="AJ356" s="258"/>
      <c r="AK356" s="208" t="e">
        <f t="shared" si="61"/>
        <v>#REF!</v>
      </c>
    </row>
    <row r="357" spans="1:37" ht="13.5" x14ac:dyDescent="0.25">
      <c r="A357" s="257">
        <v>12</v>
      </c>
      <c r="B357" s="122" t="s">
        <v>174</v>
      </c>
      <c r="C357" s="122">
        <v>29</v>
      </c>
      <c r="D357" s="122">
        <v>1</v>
      </c>
      <c r="E357" s="204"/>
      <c r="F357" s="123">
        <v>4708</v>
      </c>
      <c r="G357" s="123">
        <f>465</f>
        <v>465</v>
      </c>
      <c r="H357" s="118">
        <v>1186</v>
      </c>
      <c r="I357" s="118">
        <v>2071</v>
      </c>
      <c r="J357" s="118">
        <v>986</v>
      </c>
      <c r="K357" s="123">
        <f t="shared" si="65"/>
        <v>465</v>
      </c>
      <c r="L357" s="124">
        <f t="shared" si="62"/>
        <v>593</v>
      </c>
      <c r="M357" s="124">
        <f t="shared" si="62"/>
        <v>1035.5</v>
      </c>
      <c r="N357" s="124">
        <f t="shared" si="62"/>
        <v>493</v>
      </c>
      <c r="O357" s="124">
        <f t="shared" si="66"/>
        <v>2586.5</v>
      </c>
      <c r="P357" s="124">
        <f t="shared" si="67"/>
        <v>593</v>
      </c>
      <c r="Q357" s="124">
        <f t="shared" si="63"/>
        <v>1035.5</v>
      </c>
      <c r="R357" s="124">
        <f t="shared" si="63"/>
        <v>493</v>
      </c>
      <c r="S357" s="118">
        <f t="shared" si="68"/>
        <v>2121.5</v>
      </c>
      <c r="T357" s="259" t="e">
        <f>'[1]убор.пл. ф-8 сост. 01.01.11 г.'!O381+'[1]убор.пл. ф-8 сост. 01.01.11 г.'!P381+'[1]убор.пл. ф-8 сост. 01.01.11 г.'!Q381+'[1]убор.пл. ф-8 сост. 01.01.11 г.'!R381+'[1]убор.пл. ф-8 сост. 01.01.11 г.'!U381+'[1]убор.пл. ф-8 сост. 01.01.11 г.'!V381+'[1]убор.пл. ф-8 сост. 01.01.11 г.'!X381+'[1]убор.пл. ф-8 сост. 01.01.11 г.'!AA381+'[1]убор.пл. ф-8 сост. 01.01.11 г.'!AB381+258</f>
        <v>#REF!</v>
      </c>
      <c r="U357" s="204"/>
      <c r="V357" s="118">
        <v>404</v>
      </c>
      <c r="W357" s="123" t="e">
        <f>'[1]убор.пл. ф-8 сост. 01.01.11 г.'!S381+'[1]убор.пл. ф-8 сост. 01.01.11 г.'!W381+'[1]убор.пл. ф-8 сост. 01.01.11 г.'!AC381+'[1]убор.пл. ф-8 сост. 01.01.11 г.'!AD381</f>
        <v>#REF!</v>
      </c>
      <c r="X357" s="123"/>
      <c r="Y357" s="123">
        <v>6024</v>
      </c>
      <c r="Z357" s="118"/>
      <c r="AA357" s="123">
        <v>19</v>
      </c>
      <c r="AB357" s="118">
        <v>11136</v>
      </c>
      <c r="AC357" s="206"/>
      <c r="AD357" s="206">
        <f t="shared" si="64"/>
        <v>2586.5</v>
      </c>
      <c r="AE357" s="206"/>
      <c r="AF357" s="206" t="e">
        <f>#REF!-AE357</f>
        <v>#REF!</v>
      </c>
      <c r="AG357" s="206">
        <v>80</v>
      </c>
      <c r="AH357" s="206" t="e">
        <f>#REF!-AG357</f>
        <v>#REF!</v>
      </c>
      <c r="AI357" s="206">
        <v>19</v>
      </c>
      <c r="AJ357" s="258"/>
      <c r="AK357" s="208" t="e">
        <f t="shared" si="61"/>
        <v>#REF!</v>
      </c>
    </row>
    <row r="358" spans="1:37" ht="13.5" x14ac:dyDescent="0.25">
      <c r="A358" s="257">
        <v>13</v>
      </c>
      <c r="B358" s="122" t="s">
        <v>174</v>
      </c>
      <c r="C358" s="122">
        <v>29</v>
      </c>
      <c r="D358" s="122">
        <v>2</v>
      </c>
      <c r="E358" s="204"/>
      <c r="F358" s="123">
        <v>4856</v>
      </c>
      <c r="G358" s="123">
        <f>386+223</f>
        <v>609</v>
      </c>
      <c r="H358" s="118">
        <v>1221</v>
      </c>
      <c r="I358" s="118">
        <f>2089-223</f>
        <v>1866</v>
      </c>
      <c r="J358" s="118">
        <v>1160</v>
      </c>
      <c r="K358" s="123">
        <f t="shared" si="65"/>
        <v>609</v>
      </c>
      <c r="L358" s="124">
        <f t="shared" si="62"/>
        <v>610.5</v>
      </c>
      <c r="M358" s="124">
        <f t="shared" si="62"/>
        <v>933</v>
      </c>
      <c r="N358" s="124">
        <f t="shared" si="62"/>
        <v>580</v>
      </c>
      <c r="O358" s="124">
        <f t="shared" si="66"/>
        <v>2732.5</v>
      </c>
      <c r="P358" s="124">
        <f t="shared" si="67"/>
        <v>610.5</v>
      </c>
      <c r="Q358" s="124">
        <f t="shared" si="63"/>
        <v>933</v>
      </c>
      <c r="R358" s="124">
        <f t="shared" si="63"/>
        <v>580</v>
      </c>
      <c r="S358" s="118">
        <f t="shared" si="68"/>
        <v>2123.5</v>
      </c>
      <c r="T358" s="204" t="e">
        <f>'[1]убор.пл. ф-8 сост. 01.01.11 г.'!O382+'[1]убор.пл. ф-8 сост. 01.01.11 г.'!P382+'[1]убор.пл. ф-8 сост. 01.01.11 г.'!Q382+'[1]убор.пл. ф-8 сост. 01.01.11 г.'!R382+'[1]убор.пл. ф-8 сост. 01.01.11 г.'!U382+'[1]убор.пл. ф-8 сост. 01.01.11 г.'!V382+'[1]убор.пл. ф-8 сост. 01.01.11 г.'!X382+'[1]убор.пл. ф-8 сост. 01.01.11 г.'!Z382+'[1]убор.пл. ф-8 сост. 01.01.11 г.'!AA382+'[1]убор.пл. ф-8 сост. 01.01.11 г.'!AB382</f>
        <v>#REF!</v>
      </c>
      <c r="U358" s="204"/>
      <c r="V358" s="118">
        <v>662</v>
      </c>
      <c r="W358" s="123" t="e">
        <f>'[1]убор.пл. ф-8 сост. 01.01.11 г.'!S382+'[1]убор.пл. ф-8 сост. 01.01.11 г.'!W382+'[1]убор.пл. ф-8 сост. 01.01.11 г.'!AC382+'[1]убор.пл. ф-8 сост. 01.01.11 г.'!AD382</f>
        <v>#REF!</v>
      </c>
      <c r="X358" s="123"/>
      <c r="Y358" s="123">
        <v>6136</v>
      </c>
      <c r="Z358" s="118"/>
      <c r="AA358" s="123">
        <v>17</v>
      </c>
      <c r="AB358" s="118">
        <v>11654</v>
      </c>
      <c r="AC358" s="206"/>
      <c r="AD358" s="206">
        <f t="shared" si="64"/>
        <v>2732.5</v>
      </c>
      <c r="AE358" s="206"/>
      <c r="AF358" s="206" t="e">
        <f>#REF!-AE358</f>
        <v>#REF!</v>
      </c>
      <c r="AG358" s="206">
        <v>340</v>
      </c>
      <c r="AH358" s="206" t="e">
        <f>#REF!-AG358</f>
        <v>#REF!</v>
      </c>
      <c r="AI358" s="206">
        <v>17</v>
      </c>
      <c r="AJ358" s="258"/>
      <c r="AK358" s="208" t="e">
        <f t="shared" si="61"/>
        <v>#REF!</v>
      </c>
    </row>
    <row r="359" spans="1:37" ht="13.5" x14ac:dyDescent="0.25">
      <c r="A359" s="257">
        <v>14</v>
      </c>
      <c r="B359" s="122" t="s">
        <v>174</v>
      </c>
      <c r="C359" s="122">
        <v>31</v>
      </c>
      <c r="D359" s="127"/>
      <c r="E359" s="204">
        <f>130</f>
        <v>130</v>
      </c>
      <c r="F359" s="123">
        <f>1943+E359</f>
        <v>2073</v>
      </c>
      <c r="G359" s="123">
        <v>393</v>
      </c>
      <c r="H359" s="118">
        <v>472</v>
      </c>
      <c r="I359" s="118">
        <v>411</v>
      </c>
      <c r="J359" s="118">
        <v>797</v>
      </c>
      <c r="K359" s="123">
        <f t="shared" si="65"/>
        <v>393</v>
      </c>
      <c r="L359" s="124">
        <f t="shared" si="62"/>
        <v>236</v>
      </c>
      <c r="M359" s="124">
        <f t="shared" si="62"/>
        <v>205.5</v>
      </c>
      <c r="N359" s="124">
        <f t="shared" si="62"/>
        <v>398.5</v>
      </c>
      <c r="O359" s="124">
        <f t="shared" si="66"/>
        <v>1233</v>
      </c>
      <c r="P359" s="124">
        <f t="shared" si="67"/>
        <v>236</v>
      </c>
      <c r="Q359" s="124">
        <f t="shared" si="63"/>
        <v>205.5</v>
      </c>
      <c r="R359" s="124">
        <f t="shared" si="63"/>
        <v>398.5</v>
      </c>
      <c r="S359" s="118">
        <f t="shared" si="68"/>
        <v>840</v>
      </c>
      <c r="T359" s="204">
        <f>100+385</f>
        <v>485</v>
      </c>
      <c r="U359" s="204"/>
      <c r="V359" s="118">
        <v>485</v>
      </c>
      <c r="W359" s="123">
        <f>11577</f>
        <v>11577</v>
      </c>
      <c r="X359" s="123"/>
      <c r="Y359" s="123">
        <f>11577-E359</f>
        <v>11447</v>
      </c>
      <c r="Z359" s="118"/>
      <c r="AA359" s="123"/>
      <c r="AB359" s="118">
        <v>14005</v>
      </c>
      <c r="AC359" s="206"/>
      <c r="AD359" s="206">
        <f t="shared" si="64"/>
        <v>1233</v>
      </c>
      <c r="AE359" s="206"/>
      <c r="AF359" s="206" t="e">
        <f>#REF!-AE359</f>
        <v>#REF!</v>
      </c>
      <c r="AG359" s="206"/>
      <c r="AH359" s="206" t="e">
        <f>#REF!-AG359</f>
        <v>#REF!</v>
      </c>
      <c r="AI359" s="206"/>
      <c r="AJ359" s="258"/>
      <c r="AK359" s="208">
        <f t="shared" si="61"/>
        <v>14135</v>
      </c>
    </row>
    <row r="360" spans="1:37" ht="13.5" x14ac:dyDescent="0.25">
      <c r="A360" s="257">
        <v>15</v>
      </c>
      <c r="B360" s="122" t="s">
        <v>174</v>
      </c>
      <c r="C360" s="122">
        <v>31</v>
      </c>
      <c r="D360" s="122">
        <v>2</v>
      </c>
      <c r="E360" s="204"/>
      <c r="F360" s="123">
        <v>2063</v>
      </c>
      <c r="G360" s="123">
        <f>87+64</f>
        <v>151</v>
      </c>
      <c r="H360" s="118">
        <v>209</v>
      </c>
      <c r="I360" s="118">
        <f>717-64</f>
        <v>653</v>
      </c>
      <c r="J360" s="118">
        <v>1050</v>
      </c>
      <c r="K360" s="123">
        <f t="shared" si="65"/>
        <v>151</v>
      </c>
      <c r="L360" s="124">
        <f t="shared" si="62"/>
        <v>104.5</v>
      </c>
      <c r="M360" s="124">
        <f t="shared" si="62"/>
        <v>326.5</v>
      </c>
      <c r="N360" s="124">
        <f t="shared" si="62"/>
        <v>525</v>
      </c>
      <c r="O360" s="124">
        <f t="shared" si="66"/>
        <v>1107</v>
      </c>
      <c r="P360" s="124">
        <f t="shared" si="67"/>
        <v>104.5</v>
      </c>
      <c r="Q360" s="124">
        <f t="shared" si="63"/>
        <v>326.5</v>
      </c>
      <c r="R360" s="124">
        <f t="shared" si="63"/>
        <v>525</v>
      </c>
      <c r="S360" s="118">
        <f t="shared" si="68"/>
        <v>956</v>
      </c>
      <c r="T360" s="204">
        <v>533</v>
      </c>
      <c r="U360" s="204"/>
      <c r="V360" s="118">
        <v>533</v>
      </c>
      <c r="W360" s="123" t="e">
        <f>'[1]убор.пл. ф-8 сост. 01.01.11 г.'!S384+'[1]убор.пл. ф-8 сост. 01.01.11 г.'!W384+'[1]убор.пл. ф-8 сост. 01.01.11 г.'!AC384+'[1]убор.пл. ф-8 сост. 01.01.11 г.'!AD384</f>
        <v>#REF!</v>
      </c>
      <c r="X360" s="123"/>
      <c r="Y360" s="123">
        <v>2568</v>
      </c>
      <c r="Z360" s="118"/>
      <c r="AA360" s="123"/>
      <c r="AB360" s="118">
        <v>5164</v>
      </c>
      <c r="AC360" s="206">
        <v>10</v>
      </c>
      <c r="AD360" s="206">
        <f t="shared" si="64"/>
        <v>1097</v>
      </c>
      <c r="AE360" s="206"/>
      <c r="AF360" s="206" t="e">
        <f>#REF!-AE360</f>
        <v>#REF!</v>
      </c>
      <c r="AG360" s="206"/>
      <c r="AH360" s="206" t="e">
        <f>#REF!-AG360</f>
        <v>#REF!</v>
      </c>
      <c r="AI360" s="206"/>
      <c r="AJ360" s="258"/>
      <c r="AK360" s="208" t="e">
        <f t="shared" si="61"/>
        <v>#REF!</v>
      </c>
    </row>
    <row r="361" spans="1:37" ht="13.5" x14ac:dyDescent="0.25">
      <c r="A361" s="257">
        <v>16</v>
      </c>
      <c r="B361" s="122" t="s">
        <v>174</v>
      </c>
      <c r="C361" s="122">
        <v>31</v>
      </c>
      <c r="D361" s="122">
        <v>3</v>
      </c>
      <c r="E361" s="204"/>
      <c r="F361" s="123">
        <v>2146</v>
      </c>
      <c r="G361" s="123">
        <f>149</f>
        <v>149</v>
      </c>
      <c r="H361" s="118">
        <v>379</v>
      </c>
      <c r="I361" s="118">
        <v>1068</v>
      </c>
      <c r="J361" s="118">
        <v>550</v>
      </c>
      <c r="K361" s="123">
        <f t="shared" si="65"/>
        <v>149</v>
      </c>
      <c r="L361" s="124">
        <f t="shared" si="62"/>
        <v>189.5</v>
      </c>
      <c r="M361" s="124">
        <f t="shared" si="62"/>
        <v>534</v>
      </c>
      <c r="N361" s="124">
        <f t="shared" si="62"/>
        <v>275</v>
      </c>
      <c r="O361" s="124">
        <f t="shared" si="66"/>
        <v>1147.5</v>
      </c>
      <c r="P361" s="124">
        <f t="shared" si="67"/>
        <v>189.5</v>
      </c>
      <c r="Q361" s="124">
        <f t="shared" si="63"/>
        <v>534</v>
      </c>
      <c r="R361" s="124">
        <f t="shared" si="63"/>
        <v>275</v>
      </c>
      <c r="S361" s="118">
        <f t="shared" si="68"/>
        <v>998.5</v>
      </c>
      <c r="T361" s="204" t="e">
        <f>'[1]убор.пл. ф-8 сост. 01.01.11 г.'!O385+'[1]убор.пл. ф-8 сост. 01.01.11 г.'!P385+'[1]убор.пл. ф-8 сост. 01.01.11 г.'!Q385+'[1]убор.пл. ф-8 сост. 01.01.11 г.'!R385+'[1]убор.пл. ф-8 сост. 01.01.11 г.'!U385+'[1]убор.пл. ф-8 сост. 01.01.11 г.'!V385+'[1]убор.пл. ф-8 сост. 01.01.11 г.'!X385+'[1]убор.пл. ф-8 сост. 01.01.11 г.'!Z385+'[1]убор.пл. ф-8 сост. 01.01.11 г.'!AA385+'[1]убор.пл. ф-8 сост. 01.01.11 г.'!AB385</f>
        <v>#REF!</v>
      </c>
      <c r="U361" s="204"/>
      <c r="V361" s="118"/>
      <c r="W361" s="123" t="e">
        <f>'[1]убор.пл. ф-8 сост. 01.01.11 г.'!S385+'[1]убор.пл. ф-8 сост. 01.01.11 г.'!W385+'[1]убор.пл. ф-8 сост. 01.01.11 г.'!AC385+'[1]убор.пл. ф-8 сост. 01.01.11 г.'!AD385</f>
        <v>#REF!</v>
      </c>
      <c r="X361" s="123"/>
      <c r="Y361" s="123">
        <v>3926</v>
      </c>
      <c r="Z361" s="118"/>
      <c r="AA361" s="123">
        <v>24</v>
      </c>
      <c r="AB361" s="118">
        <v>6072</v>
      </c>
      <c r="AC361" s="206"/>
      <c r="AD361" s="206">
        <f t="shared" si="64"/>
        <v>1147.5</v>
      </c>
      <c r="AE361" s="206"/>
      <c r="AF361" s="206" t="e">
        <f>#REF!-AE361</f>
        <v>#REF!</v>
      </c>
      <c r="AG361" s="206"/>
      <c r="AH361" s="206" t="e">
        <f>#REF!-AG361</f>
        <v>#REF!</v>
      </c>
      <c r="AI361" s="206">
        <v>24</v>
      </c>
      <c r="AJ361" s="258"/>
      <c r="AK361" s="208" t="e">
        <f t="shared" si="61"/>
        <v>#REF!</v>
      </c>
    </row>
    <row r="362" spans="1:37" ht="13.5" x14ac:dyDescent="0.25">
      <c r="A362" s="257">
        <v>17</v>
      </c>
      <c r="B362" s="122" t="s">
        <v>174</v>
      </c>
      <c r="C362" s="122">
        <v>31</v>
      </c>
      <c r="D362" s="122">
        <v>4</v>
      </c>
      <c r="E362" s="204">
        <f>332</f>
        <v>332</v>
      </c>
      <c r="F362" s="123">
        <f>1505+E362</f>
        <v>1837</v>
      </c>
      <c r="G362" s="123">
        <v>434</v>
      </c>
      <c r="H362" s="118">
        <v>138</v>
      </c>
      <c r="I362" s="118">
        <v>656</v>
      </c>
      <c r="J362" s="118">
        <v>609</v>
      </c>
      <c r="K362" s="123">
        <f t="shared" si="65"/>
        <v>434</v>
      </c>
      <c r="L362" s="124">
        <f t="shared" ref="L362:N395" si="69">H362/2</f>
        <v>69</v>
      </c>
      <c r="M362" s="124">
        <f t="shared" si="69"/>
        <v>328</v>
      </c>
      <c r="N362" s="124">
        <f t="shared" si="69"/>
        <v>304.5</v>
      </c>
      <c r="O362" s="124">
        <f t="shared" si="66"/>
        <v>1135.5</v>
      </c>
      <c r="P362" s="124">
        <f t="shared" si="67"/>
        <v>69</v>
      </c>
      <c r="Q362" s="124">
        <f t="shared" si="67"/>
        <v>328</v>
      </c>
      <c r="R362" s="124">
        <f t="shared" si="67"/>
        <v>304.5</v>
      </c>
      <c r="S362" s="118">
        <f t="shared" si="68"/>
        <v>701.5</v>
      </c>
      <c r="T362" s="204" t="e">
        <f>'[1]убор.пл. ф-8 сост. 01.01.11 г.'!O386+'[1]убор.пл. ф-8 сост. 01.01.11 г.'!P386+'[1]убор.пл. ф-8 сост. 01.01.11 г.'!Q386+'[1]убор.пл. ф-8 сост. 01.01.11 г.'!R386+'[1]убор.пл. ф-8 сост. 01.01.11 г.'!U386+'[1]убор.пл. ф-8 сост. 01.01.11 г.'!V386+'[1]убор.пл. ф-8 сост. 01.01.11 г.'!X386+'[1]убор.пл. ф-8 сост. 01.01.11 г.'!Z386+'[1]убор.пл. ф-8 сост. 01.01.11 г.'!AA386+'[1]убор.пл. ф-8 сост. 01.01.11 г.'!AB386</f>
        <v>#REF!</v>
      </c>
      <c r="U362" s="204"/>
      <c r="V362" s="118"/>
      <c r="W362" s="123" t="e">
        <f>'[1]убор.пл. ф-8 сост. 01.01.11 г.'!S386+'[1]убор.пл. ф-8 сост. 01.01.11 г.'!W386+'[1]убор.пл. ф-8 сост. 01.01.11 г.'!AC386+'[1]убор.пл. ф-8 сост. 01.01.11 г.'!AD386</f>
        <v>#REF!</v>
      </c>
      <c r="X362" s="123"/>
      <c r="Y362" s="123">
        <f>2614-E362</f>
        <v>2282</v>
      </c>
      <c r="Z362" s="118"/>
      <c r="AA362" s="123">
        <v>15</v>
      </c>
      <c r="AB362" s="118">
        <v>4119</v>
      </c>
      <c r="AC362" s="206">
        <v>20</v>
      </c>
      <c r="AD362" s="206">
        <f t="shared" si="64"/>
        <v>1115.5</v>
      </c>
      <c r="AE362" s="206"/>
      <c r="AF362" s="206" t="e">
        <f>#REF!-AE362</f>
        <v>#REF!</v>
      </c>
      <c r="AG362" s="206"/>
      <c r="AH362" s="206" t="e">
        <f>#REF!-AG362</f>
        <v>#REF!</v>
      </c>
      <c r="AI362" s="206">
        <v>15</v>
      </c>
      <c r="AJ362" s="258"/>
      <c r="AK362" s="208" t="e">
        <f t="shared" si="61"/>
        <v>#REF!</v>
      </c>
    </row>
    <row r="363" spans="1:37" ht="13.5" x14ac:dyDescent="0.25">
      <c r="A363" s="257">
        <v>18</v>
      </c>
      <c r="B363" s="122" t="s">
        <v>174</v>
      </c>
      <c r="C363" s="122">
        <v>33</v>
      </c>
      <c r="D363" s="122">
        <v>1</v>
      </c>
      <c r="E363" s="204">
        <f>387.5+263.72</f>
        <v>651.22</v>
      </c>
      <c r="F363" s="123">
        <f>1138+E363</f>
        <v>1789.22</v>
      </c>
      <c r="G363" s="123">
        <f>141+E363</f>
        <v>792.22</v>
      </c>
      <c r="H363" s="118">
        <v>175</v>
      </c>
      <c r="I363" s="118">
        <v>512</v>
      </c>
      <c r="J363" s="118">
        <v>310</v>
      </c>
      <c r="K363" s="123">
        <f t="shared" si="65"/>
        <v>792.22</v>
      </c>
      <c r="L363" s="124">
        <f t="shared" si="69"/>
        <v>87.5</v>
      </c>
      <c r="M363" s="124">
        <f t="shared" si="69"/>
        <v>256</v>
      </c>
      <c r="N363" s="124">
        <f t="shared" si="69"/>
        <v>155</v>
      </c>
      <c r="O363" s="124">
        <f t="shared" si="66"/>
        <v>1290.72</v>
      </c>
      <c r="P363" s="124">
        <f t="shared" si="67"/>
        <v>87.5</v>
      </c>
      <c r="Q363" s="124">
        <f t="shared" si="67"/>
        <v>256</v>
      </c>
      <c r="R363" s="124">
        <f t="shared" si="67"/>
        <v>155</v>
      </c>
      <c r="S363" s="118">
        <f t="shared" si="68"/>
        <v>498.5</v>
      </c>
      <c r="T363" s="204" t="e">
        <f>'[1]убор.пл. ф-8 сост. 01.01.11 г.'!O387+'[1]убор.пл. ф-8 сост. 01.01.11 г.'!P387+'[1]убор.пл. ф-8 сост. 01.01.11 г.'!Q387+'[1]убор.пл. ф-8 сост. 01.01.11 г.'!R387+'[1]убор.пл. ф-8 сост. 01.01.11 г.'!U387+'[1]убор.пл. ф-8 сост. 01.01.11 г.'!V387+'[1]убор.пл. ф-8 сост. 01.01.11 г.'!X387+'[1]убор.пл. ф-8 сост. 01.01.11 г.'!Z387+'[1]убор.пл. ф-8 сост. 01.01.11 г.'!AA387+'[1]убор.пл. ф-8 сост. 01.01.11 г.'!AB387</f>
        <v>#REF!</v>
      </c>
      <c r="U363" s="204"/>
      <c r="V363" s="118">
        <v>647</v>
      </c>
      <c r="W363" s="123" t="e">
        <f>'[1]убор.пл. ф-8 сост. 01.01.11 г.'!S387+'[1]убор.пл. ф-8 сост. 01.01.11 г.'!W387+'[1]убор.пл. ф-8 сост. 01.01.11 г.'!AC387+'[1]убор.пл. ф-8 сост. 01.01.11 г.'!AD387</f>
        <v>#REF!</v>
      </c>
      <c r="X363" s="123"/>
      <c r="Y363" s="123">
        <f>2031-E363</f>
        <v>1379.78</v>
      </c>
      <c r="Z363" s="118"/>
      <c r="AA363" s="123"/>
      <c r="AB363" s="118">
        <v>3816</v>
      </c>
      <c r="AC363" s="206"/>
      <c r="AD363" s="206">
        <f t="shared" si="64"/>
        <v>1290.72</v>
      </c>
      <c r="AE363" s="206"/>
      <c r="AF363" s="206" t="e">
        <f>#REF!-AE363</f>
        <v>#REF!</v>
      </c>
      <c r="AG363" s="206"/>
      <c r="AH363" s="206" t="e">
        <f>#REF!-AG363</f>
        <v>#REF!</v>
      </c>
      <c r="AI363" s="206"/>
      <c r="AJ363" s="258"/>
      <c r="AK363" s="208" t="e">
        <f t="shared" si="61"/>
        <v>#REF!</v>
      </c>
    </row>
    <row r="364" spans="1:37" ht="13.5" x14ac:dyDescent="0.25">
      <c r="A364" s="257">
        <v>19</v>
      </c>
      <c r="B364" s="122" t="s">
        <v>174</v>
      </c>
      <c r="C364" s="122">
        <v>33</v>
      </c>
      <c r="D364" s="122">
        <v>2</v>
      </c>
      <c r="E364" s="204">
        <f>82.5</f>
        <v>82.5</v>
      </c>
      <c r="F364" s="123">
        <f>1897+E364</f>
        <v>1979.5</v>
      </c>
      <c r="G364" s="123">
        <f>276+E364</f>
        <v>358.5</v>
      </c>
      <c r="H364" s="118">
        <v>341</v>
      </c>
      <c r="I364" s="118">
        <v>643</v>
      </c>
      <c r="J364" s="118">
        <v>637</v>
      </c>
      <c r="K364" s="123">
        <f t="shared" si="65"/>
        <v>358.5</v>
      </c>
      <c r="L364" s="124">
        <f t="shared" si="69"/>
        <v>170.5</v>
      </c>
      <c r="M364" s="124">
        <f t="shared" si="69"/>
        <v>321.5</v>
      </c>
      <c r="N364" s="124">
        <f t="shared" si="69"/>
        <v>318.5</v>
      </c>
      <c r="O364" s="124">
        <f t="shared" si="66"/>
        <v>1169</v>
      </c>
      <c r="P364" s="124">
        <f t="shared" si="67"/>
        <v>170.5</v>
      </c>
      <c r="Q364" s="124">
        <f t="shared" si="67"/>
        <v>321.5</v>
      </c>
      <c r="R364" s="124">
        <f t="shared" si="67"/>
        <v>318.5</v>
      </c>
      <c r="S364" s="118">
        <f t="shared" si="68"/>
        <v>810.5</v>
      </c>
      <c r="T364" s="204">
        <f>16+397+133</f>
        <v>546</v>
      </c>
      <c r="U364" s="204"/>
      <c r="V364" s="118">
        <v>546</v>
      </c>
      <c r="W364" s="123">
        <f>20+3978</f>
        <v>3998</v>
      </c>
      <c r="X364" s="123"/>
      <c r="Y364" s="123">
        <f>3998-E364</f>
        <v>3915.5</v>
      </c>
      <c r="Z364" s="118"/>
      <c r="AA364" s="123">
        <v>24</v>
      </c>
      <c r="AB364" s="118">
        <v>6441</v>
      </c>
      <c r="AC364" s="206"/>
      <c r="AD364" s="206">
        <f t="shared" si="64"/>
        <v>1169</v>
      </c>
      <c r="AE364" s="206"/>
      <c r="AF364" s="206" t="e">
        <f>#REF!-AE364</f>
        <v>#REF!</v>
      </c>
      <c r="AG364" s="206">
        <v>40</v>
      </c>
      <c r="AH364" s="206" t="e">
        <f>#REF!-AG364</f>
        <v>#REF!</v>
      </c>
      <c r="AI364" s="206">
        <v>24</v>
      </c>
      <c r="AJ364" s="258"/>
      <c r="AK364" s="208">
        <f t="shared" si="61"/>
        <v>6523.5</v>
      </c>
    </row>
    <row r="365" spans="1:37" ht="13.5" x14ac:dyDescent="0.25">
      <c r="A365" s="257">
        <v>20</v>
      </c>
      <c r="B365" s="122" t="s">
        <v>174</v>
      </c>
      <c r="C365" s="122">
        <v>35</v>
      </c>
      <c r="D365" s="122"/>
      <c r="E365" s="204"/>
      <c r="F365" s="123">
        <v>1339</v>
      </c>
      <c r="G365" s="123">
        <f>252</f>
        <v>252</v>
      </c>
      <c r="H365" s="118">
        <v>160</v>
      </c>
      <c r="I365" s="118">
        <v>494</v>
      </c>
      <c r="J365" s="118">
        <v>433</v>
      </c>
      <c r="K365" s="123">
        <f t="shared" si="65"/>
        <v>252</v>
      </c>
      <c r="L365" s="124">
        <f t="shared" si="69"/>
        <v>80</v>
      </c>
      <c r="M365" s="124">
        <f t="shared" si="69"/>
        <v>247</v>
      </c>
      <c r="N365" s="124">
        <f t="shared" si="69"/>
        <v>216.5</v>
      </c>
      <c r="O365" s="124">
        <f t="shared" si="66"/>
        <v>795.5</v>
      </c>
      <c r="P365" s="124">
        <f t="shared" si="67"/>
        <v>80</v>
      </c>
      <c r="Q365" s="124">
        <f t="shared" si="67"/>
        <v>247</v>
      </c>
      <c r="R365" s="124">
        <f t="shared" si="67"/>
        <v>216.5</v>
      </c>
      <c r="S365" s="118">
        <f t="shared" si="68"/>
        <v>543.5</v>
      </c>
      <c r="T365" s="204" t="e">
        <f>'[1]убор.пл. ф-8 сост. 01.01.11 г.'!O389+'[1]убор.пл. ф-8 сост. 01.01.11 г.'!P389+'[1]убор.пл. ф-8 сост. 01.01.11 г.'!Q389+'[1]убор.пл. ф-8 сост. 01.01.11 г.'!R389+'[1]убор.пл. ф-8 сост. 01.01.11 г.'!U389+'[1]убор.пл. ф-8 сост. 01.01.11 г.'!V389+'[1]убор.пл. ф-8 сост. 01.01.11 г.'!X389+'[1]убор.пл. ф-8 сост. 01.01.11 г.'!Z389+'[1]убор.пл. ф-8 сост. 01.01.11 г.'!AA389+'[1]убор.пл. ф-8 сост. 01.01.11 г.'!AB389</f>
        <v>#REF!</v>
      </c>
      <c r="U365" s="204"/>
      <c r="V365" s="118">
        <v>849</v>
      </c>
      <c r="W365" s="123" t="e">
        <f>'[1]убор.пл. ф-8 сост. 01.01.11 г.'!S389+'[1]убор.пл. ф-8 сост. 01.01.11 г.'!W389+'[1]убор.пл. ф-8 сост. 01.01.11 г.'!AC389+'[1]убор.пл. ф-8 сост. 01.01.11 г.'!AD389</f>
        <v>#REF!</v>
      </c>
      <c r="X365" s="123"/>
      <c r="Y365" s="123">
        <v>2325</v>
      </c>
      <c r="Z365" s="118"/>
      <c r="AA365" s="123"/>
      <c r="AB365" s="118">
        <v>4513</v>
      </c>
      <c r="AC365" s="206"/>
      <c r="AD365" s="206">
        <f t="shared" si="64"/>
        <v>795.5</v>
      </c>
      <c r="AE365" s="206"/>
      <c r="AF365" s="206" t="e">
        <f>#REF!-AE365</f>
        <v>#REF!</v>
      </c>
      <c r="AG365" s="206"/>
      <c r="AH365" s="206" t="e">
        <f>#REF!-AG365</f>
        <v>#REF!</v>
      </c>
      <c r="AI365" s="206"/>
      <c r="AJ365" s="258"/>
      <c r="AK365" s="208" t="e">
        <f t="shared" si="61"/>
        <v>#REF!</v>
      </c>
    </row>
    <row r="366" spans="1:37" ht="13.5" x14ac:dyDescent="0.25">
      <c r="A366" s="257">
        <v>21</v>
      </c>
      <c r="B366" s="122" t="s">
        <v>174</v>
      </c>
      <c r="C366" s="122">
        <v>37</v>
      </c>
      <c r="D366" s="122"/>
      <c r="E366" s="204">
        <f>924.15</f>
        <v>924.15</v>
      </c>
      <c r="F366" s="123">
        <f>1926+E366</f>
        <v>2850.15</v>
      </c>
      <c r="G366" s="123">
        <f>687+E366</f>
        <v>1611.15</v>
      </c>
      <c r="H366" s="118">
        <v>105</v>
      </c>
      <c r="I366" s="118">
        <v>504</v>
      </c>
      <c r="J366" s="118">
        <v>630</v>
      </c>
      <c r="K366" s="123">
        <f t="shared" si="65"/>
        <v>1611.15</v>
      </c>
      <c r="L366" s="124">
        <f t="shared" si="69"/>
        <v>52.5</v>
      </c>
      <c r="M366" s="124">
        <f t="shared" si="69"/>
        <v>252</v>
      </c>
      <c r="N366" s="124">
        <f t="shared" si="69"/>
        <v>315</v>
      </c>
      <c r="O366" s="124">
        <f t="shared" si="66"/>
        <v>2230.65</v>
      </c>
      <c r="P366" s="124">
        <f t="shared" si="67"/>
        <v>52.5</v>
      </c>
      <c r="Q366" s="124">
        <f t="shared" si="67"/>
        <v>252</v>
      </c>
      <c r="R366" s="124">
        <f t="shared" si="67"/>
        <v>315</v>
      </c>
      <c r="S366" s="118">
        <f t="shared" si="68"/>
        <v>619.5</v>
      </c>
      <c r="T366" s="204" t="e">
        <f>'[1]убор.пл. ф-8 сост. 01.01.11 г.'!O390+'[1]убор.пл. ф-8 сост. 01.01.11 г.'!P390+'[1]убор.пл. ф-8 сост. 01.01.11 г.'!Q390+'[1]убор.пл. ф-8 сост. 01.01.11 г.'!R390+'[1]убор.пл. ф-8 сост. 01.01.11 г.'!U390+'[1]убор.пл. ф-8 сост. 01.01.11 г.'!V390+'[1]убор.пл. ф-8 сост. 01.01.11 г.'!X390+'[1]убор.пл. ф-8 сост. 01.01.11 г.'!Z390+'[1]убор.пл. ф-8 сост. 01.01.11 г.'!AA390+'[1]убор.пл. ф-8 сост. 01.01.11 г.'!AB390</f>
        <v>#REF!</v>
      </c>
      <c r="U366" s="204"/>
      <c r="V366" s="118"/>
      <c r="W366" s="123" t="e">
        <f>'[1]убор.пл. ф-8 сост. 01.01.11 г.'!S390+'[1]убор.пл. ф-8 сост. 01.01.11 г.'!W390+'[1]убор.пл. ф-8 сост. 01.01.11 г.'!AC390+'[1]убор.пл. ф-8 сост. 01.01.11 г.'!AD390</f>
        <v>#REF!</v>
      </c>
      <c r="X366" s="123"/>
      <c r="Y366" s="123">
        <f>8322-E366</f>
        <v>7397.85</v>
      </c>
      <c r="Z366" s="118"/>
      <c r="AA366" s="123"/>
      <c r="AB366" s="118">
        <v>10248</v>
      </c>
      <c r="AC366" s="206"/>
      <c r="AD366" s="206">
        <f t="shared" si="64"/>
        <v>2230.65</v>
      </c>
      <c r="AE366" s="206"/>
      <c r="AF366" s="206" t="e">
        <f>#REF!-AE366</f>
        <v>#REF!</v>
      </c>
      <c r="AG366" s="206"/>
      <c r="AH366" s="206" t="e">
        <f>#REF!-AG366</f>
        <v>#REF!</v>
      </c>
      <c r="AI366" s="206"/>
      <c r="AJ366" s="258"/>
      <c r="AK366" s="208" t="e">
        <f t="shared" si="61"/>
        <v>#REF!</v>
      </c>
    </row>
    <row r="367" spans="1:37" ht="13.5" x14ac:dyDescent="0.25">
      <c r="A367" s="257">
        <v>22</v>
      </c>
      <c r="B367" s="122" t="s">
        <v>174</v>
      </c>
      <c r="C367" s="122">
        <v>39</v>
      </c>
      <c r="D367" s="122"/>
      <c r="E367" s="204"/>
      <c r="F367" s="123">
        <v>6541</v>
      </c>
      <c r="G367" s="123">
        <f>511</f>
        <v>511</v>
      </c>
      <c r="H367" s="118">
        <v>1300</v>
      </c>
      <c r="I367" s="118">
        <v>4730</v>
      </c>
      <c r="J367" s="118"/>
      <c r="K367" s="123">
        <f t="shared" si="65"/>
        <v>511</v>
      </c>
      <c r="L367" s="124">
        <f t="shared" si="69"/>
        <v>650</v>
      </c>
      <c r="M367" s="124">
        <f t="shared" si="69"/>
        <v>2365</v>
      </c>
      <c r="N367" s="124">
        <f t="shared" si="69"/>
        <v>0</v>
      </c>
      <c r="O367" s="124">
        <f t="shared" si="66"/>
        <v>3526</v>
      </c>
      <c r="P367" s="124">
        <f t="shared" si="67"/>
        <v>650</v>
      </c>
      <c r="Q367" s="124">
        <f t="shared" si="67"/>
        <v>2365</v>
      </c>
      <c r="R367" s="124">
        <f t="shared" si="67"/>
        <v>0</v>
      </c>
      <c r="S367" s="118">
        <f t="shared" si="68"/>
        <v>3015</v>
      </c>
      <c r="T367" s="204">
        <v>177</v>
      </c>
      <c r="U367" s="204"/>
      <c r="V367" s="118">
        <v>177</v>
      </c>
      <c r="W367" s="123" t="e">
        <f>'[1]убор.пл. ф-8 сост. 01.01.11 г.'!S391+'[1]убор.пл. ф-8 сост. 01.01.11 г.'!W391+'[1]убор.пл. ф-8 сост. 01.01.11 г.'!AC391+'[1]убор.пл. ф-8 сост. 01.01.11 г.'!AD391</f>
        <v>#REF!</v>
      </c>
      <c r="X367" s="123"/>
      <c r="Y367" s="123">
        <v>11099</v>
      </c>
      <c r="Z367" s="118"/>
      <c r="AA367" s="123">
        <v>19</v>
      </c>
      <c r="AB367" s="118">
        <v>17817</v>
      </c>
      <c r="AC367" s="206">
        <v>100</v>
      </c>
      <c r="AD367" s="206">
        <f t="shared" si="64"/>
        <v>3426</v>
      </c>
      <c r="AE367" s="206"/>
      <c r="AF367" s="206" t="e">
        <f>#REF!-AE367</f>
        <v>#REF!</v>
      </c>
      <c r="AG367" s="206">
        <v>200</v>
      </c>
      <c r="AH367" s="206" t="e">
        <f>#REF!-AG367</f>
        <v>#REF!</v>
      </c>
      <c r="AI367" s="206">
        <v>19</v>
      </c>
      <c r="AJ367" s="258"/>
      <c r="AK367" s="208" t="e">
        <f t="shared" si="61"/>
        <v>#REF!</v>
      </c>
    </row>
    <row r="368" spans="1:37" ht="13.5" x14ac:dyDescent="0.25">
      <c r="A368" s="257">
        <v>23</v>
      </c>
      <c r="B368" s="122" t="s">
        <v>174</v>
      </c>
      <c r="C368" s="122">
        <v>41</v>
      </c>
      <c r="D368" s="122"/>
      <c r="E368" s="204"/>
      <c r="F368" s="123">
        <v>2007</v>
      </c>
      <c r="G368" s="123">
        <f>297+311</f>
        <v>608</v>
      </c>
      <c r="H368" s="118">
        <v>336</v>
      </c>
      <c r="I368" s="118">
        <f>1040-311</f>
        <v>729</v>
      </c>
      <c r="J368" s="118">
        <v>334</v>
      </c>
      <c r="K368" s="123">
        <f t="shared" si="65"/>
        <v>608</v>
      </c>
      <c r="L368" s="124">
        <f t="shared" si="69"/>
        <v>168</v>
      </c>
      <c r="M368" s="124">
        <f t="shared" si="69"/>
        <v>364.5</v>
      </c>
      <c r="N368" s="124">
        <f t="shared" si="69"/>
        <v>167</v>
      </c>
      <c r="O368" s="124">
        <f t="shared" si="66"/>
        <v>1307.5</v>
      </c>
      <c r="P368" s="124">
        <f t="shared" si="67"/>
        <v>168</v>
      </c>
      <c r="Q368" s="124">
        <f t="shared" si="67"/>
        <v>364.5</v>
      </c>
      <c r="R368" s="124">
        <f t="shared" si="67"/>
        <v>167</v>
      </c>
      <c r="S368" s="118">
        <f t="shared" si="68"/>
        <v>699.5</v>
      </c>
      <c r="T368" s="204">
        <v>22</v>
      </c>
      <c r="U368" s="204"/>
      <c r="V368" s="118">
        <v>22</v>
      </c>
      <c r="W368" s="123">
        <v>6045</v>
      </c>
      <c r="X368" s="123"/>
      <c r="Y368" s="123">
        <v>6045</v>
      </c>
      <c r="Z368" s="118"/>
      <c r="AA368" s="123"/>
      <c r="AB368" s="118">
        <v>8074</v>
      </c>
      <c r="AC368" s="206"/>
      <c r="AD368" s="206">
        <f t="shared" si="64"/>
        <v>1307.5</v>
      </c>
      <c r="AE368" s="206"/>
      <c r="AF368" s="206" t="e">
        <f>#REF!-AE368</f>
        <v>#REF!</v>
      </c>
      <c r="AG368" s="206"/>
      <c r="AH368" s="206" t="e">
        <f>#REF!-AG368</f>
        <v>#REF!</v>
      </c>
      <c r="AI368" s="206"/>
      <c r="AJ368" s="258"/>
      <c r="AK368" s="208">
        <f t="shared" si="61"/>
        <v>8074</v>
      </c>
    </row>
    <row r="369" spans="1:37" ht="13.5" x14ac:dyDescent="0.25">
      <c r="A369" s="257">
        <v>24</v>
      </c>
      <c r="B369" s="122" t="s">
        <v>174</v>
      </c>
      <c r="C369" s="122">
        <v>43</v>
      </c>
      <c r="D369" s="122"/>
      <c r="E369" s="204"/>
      <c r="F369" s="123">
        <v>1121</v>
      </c>
      <c r="G369" s="123">
        <f>143+97</f>
        <v>240</v>
      </c>
      <c r="H369" s="118">
        <v>211</v>
      </c>
      <c r="I369" s="118">
        <f>633-97</f>
        <v>536</v>
      </c>
      <c r="J369" s="118">
        <v>134</v>
      </c>
      <c r="K369" s="123">
        <f t="shared" si="65"/>
        <v>240</v>
      </c>
      <c r="L369" s="124">
        <f t="shared" si="69"/>
        <v>105.5</v>
      </c>
      <c r="M369" s="124">
        <f t="shared" si="69"/>
        <v>268</v>
      </c>
      <c r="N369" s="124">
        <f t="shared" si="69"/>
        <v>67</v>
      </c>
      <c r="O369" s="124">
        <f t="shared" si="66"/>
        <v>680.5</v>
      </c>
      <c r="P369" s="124">
        <f t="shared" si="67"/>
        <v>105.5</v>
      </c>
      <c r="Q369" s="124">
        <f t="shared" si="67"/>
        <v>268</v>
      </c>
      <c r="R369" s="124">
        <f t="shared" si="67"/>
        <v>67</v>
      </c>
      <c r="S369" s="118">
        <f t="shared" si="68"/>
        <v>440.5</v>
      </c>
      <c r="T369" s="204" t="e">
        <f>'[1]убор.пл. ф-8 сост. 01.01.11 г.'!O393+'[1]убор.пл. ф-8 сост. 01.01.11 г.'!P393+'[1]убор.пл. ф-8 сост. 01.01.11 г.'!Q393+'[1]убор.пл. ф-8 сост. 01.01.11 г.'!R393+'[1]убор.пл. ф-8 сост. 01.01.11 г.'!U393+'[1]убор.пл. ф-8 сост. 01.01.11 г.'!V393+'[1]убор.пл. ф-8 сост. 01.01.11 г.'!X393+'[1]убор.пл. ф-8 сост. 01.01.11 г.'!Z393+'[1]убор.пл. ф-8 сост. 01.01.11 г.'!AA393+'[1]убор.пл. ф-8 сост. 01.01.11 г.'!AB393</f>
        <v>#REF!</v>
      </c>
      <c r="U369" s="204"/>
      <c r="V369" s="118"/>
      <c r="W369" s="123" t="e">
        <f>'[1]убор.пл. ф-8 сост. 01.01.11 г.'!S393+'[1]убор.пл. ф-8 сост. 01.01.11 г.'!W393+'[1]убор.пл. ф-8 сост. 01.01.11 г.'!AC393+'[1]убор.пл. ф-8 сост. 01.01.11 г.'!AD393</f>
        <v>#REF!</v>
      </c>
      <c r="X369" s="123"/>
      <c r="Y369" s="123">
        <v>2703</v>
      </c>
      <c r="Z369" s="118"/>
      <c r="AA369" s="123">
        <v>24</v>
      </c>
      <c r="AB369" s="118">
        <v>3824</v>
      </c>
      <c r="AC369" s="206"/>
      <c r="AD369" s="206">
        <f t="shared" si="64"/>
        <v>680.5</v>
      </c>
      <c r="AE369" s="206"/>
      <c r="AF369" s="206" t="e">
        <f>#REF!-AE369</f>
        <v>#REF!</v>
      </c>
      <c r="AG369" s="206">
        <v>10</v>
      </c>
      <c r="AH369" s="206" t="e">
        <f>#REF!-AG369</f>
        <v>#REF!</v>
      </c>
      <c r="AI369" s="206">
        <v>24</v>
      </c>
      <c r="AJ369" s="258"/>
      <c r="AK369" s="208" t="e">
        <f t="shared" si="61"/>
        <v>#REF!</v>
      </c>
    </row>
    <row r="370" spans="1:37" ht="13.5" x14ac:dyDescent="0.25">
      <c r="A370" s="257">
        <v>25</v>
      </c>
      <c r="B370" s="122" t="s">
        <v>174</v>
      </c>
      <c r="C370" s="122">
        <v>45</v>
      </c>
      <c r="D370" s="122"/>
      <c r="E370" s="204">
        <f>1452.08</f>
        <v>1452.08</v>
      </c>
      <c r="F370" s="123">
        <f>1561+E370</f>
        <v>3013.08</v>
      </c>
      <c r="G370" s="123">
        <f>142+E370</f>
        <v>1594.08</v>
      </c>
      <c r="H370" s="118">
        <v>508</v>
      </c>
      <c r="I370" s="118"/>
      <c r="J370" s="118">
        <v>911</v>
      </c>
      <c r="K370" s="123">
        <f t="shared" si="65"/>
        <v>1594.08</v>
      </c>
      <c r="L370" s="124">
        <f t="shared" si="69"/>
        <v>254</v>
      </c>
      <c r="M370" s="124">
        <f t="shared" si="69"/>
        <v>0</v>
      </c>
      <c r="N370" s="124">
        <f t="shared" si="69"/>
        <v>455.5</v>
      </c>
      <c r="O370" s="124">
        <f t="shared" si="66"/>
        <v>2303.58</v>
      </c>
      <c r="P370" s="124">
        <f t="shared" si="67"/>
        <v>254</v>
      </c>
      <c r="Q370" s="124">
        <f t="shared" si="67"/>
        <v>0</v>
      </c>
      <c r="R370" s="124">
        <f t="shared" si="67"/>
        <v>455.5</v>
      </c>
      <c r="S370" s="118">
        <f t="shared" si="68"/>
        <v>709.5</v>
      </c>
      <c r="T370" s="204" t="e">
        <f>'[1]убор.пл. ф-8 сост. 01.01.11 г.'!O394+'[1]убор.пл. ф-8 сост. 01.01.11 г.'!P394+'[1]убор.пл. ф-8 сост. 01.01.11 г.'!Q394+'[1]убор.пл. ф-8 сост. 01.01.11 г.'!R394+'[1]убор.пл. ф-8 сост. 01.01.11 г.'!U394+'[1]убор.пл. ф-8 сост. 01.01.11 г.'!V394+'[1]убор.пл. ф-8 сост. 01.01.11 г.'!X394+'[1]убор.пл. ф-8 сост. 01.01.11 г.'!Z394+'[1]убор.пл. ф-8 сост. 01.01.11 г.'!AA394+'[1]убор.пл. ф-8 сост. 01.01.11 г.'!AB394</f>
        <v>#REF!</v>
      </c>
      <c r="U370" s="204"/>
      <c r="V370" s="118">
        <v>299</v>
      </c>
      <c r="W370" s="123" t="e">
        <f>'[1]убор.пл. ф-8 сост. 01.01.11 г.'!S394+'[1]убор.пл. ф-8 сост. 01.01.11 г.'!W394+'[1]убор.пл. ф-8 сост. 01.01.11 г.'!AC394+'[1]убор.пл. ф-8 сост. 01.01.11 г.'!AD394</f>
        <v>#REF!</v>
      </c>
      <c r="X370" s="123"/>
      <c r="Y370" s="123">
        <f>1817-E370</f>
        <v>364.92000000000007</v>
      </c>
      <c r="Z370" s="118"/>
      <c r="AA370" s="123">
        <v>20</v>
      </c>
      <c r="AB370" s="118">
        <v>3677</v>
      </c>
      <c r="AC370" s="206"/>
      <c r="AD370" s="206">
        <f t="shared" si="64"/>
        <v>2303.58</v>
      </c>
      <c r="AE370" s="206"/>
      <c r="AF370" s="206" t="e">
        <f>#REF!-AE370</f>
        <v>#REF!</v>
      </c>
      <c r="AG370" s="206"/>
      <c r="AH370" s="206" t="e">
        <f>#REF!-AG370</f>
        <v>#REF!</v>
      </c>
      <c r="AI370" s="206">
        <v>20</v>
      </c>
      <c r="AJ370" s="258"/>
      <c r="AK370" s="208" t="e">
        <f t="shared" si="61"/>
        <v>#REF!</v>
      </c>
    </row>
    <row r="371" spans="1:37" ht="13.5" x14ac:dyDescent="0.25">
      <c r="A371" s="257">
        <v>26</v>
      </c>
      <c r="B371" s="203" t="s">
        <v>119</v>
      </c>
      <c r="C371" s="203">
        <v>8</v>
      </c>
      <c r="D371" s="203"/>
      <c r="E371" s="204"/>
      <c r="F371" s="123">
        <v>1855</v>
      </c>
      <c r="G371" s="123">
        <f>1034-898+898</f>
        <v>1034</v>
      </c>
      <c r="H371" s="118">
        <v>294</v>
      </c>
      <c r="I371" s="118">
        <v>226</v>
      </c>
      <c r="J371" s="118">
        <v>301</v>
      </c>
      <c r="K371" s="123">
        <f t="shared" si="65"/>
        <v>1034</v>
      </c>
      <c r="L371" s="124">
        <f t="shared" si="69"/>
        <v>147</v>
      </c>
      <c r="M371" s="124">
        <f t="shared" si="69"/>
        <v>113</v>
      </c>
      <c r="N371" s="124">
        <f t="shared" si="69"/>
        <v>150.5</v>
      </c>
      <c r="O371" s="124">
        <f t="shared" si="66"/>
        <v>1444.5</v>
      </c>
      <c r="P371" s="124">
        <f t="shared" si="67"/>
        <v>147</v>
      </c>
      <c r="Q371" s="124">
        <f t="shared" si="67"/>
        <v>113</v>
      </c>
      <c r="R371" s="124">
        <f t="shared" si="67"/>
        <v>150.5</v>
      </c>
      <c r="S371" s="118">
        <f t="shared" si="68"/>
        <v>410.5</v>
      </c>
      <c r="T371" s="204" t="e">
        <f>'[1]убор.пл. ф-8 сост. 01.01.11 г.'!O395+'[1]убор.пл. ф-8 сост. 01.01.11 г.'!P395+'[1]убор.пл. ф-8 сост. 01.01.11 г.'!Q395+'[1]убор.пл. ф-8 сост. 01.01.11 г.'!R395+'[1]убор.пл. ф-8 сост. 01.01.11 г.'!U395+'[1]убор.пл. ф-8 сост. 01.01.11 г.'!V395+'[1]убор.пл. ф-8 сост. 01.01.11 г.'!X395+'[1]убор.пл. ф-8 сост. 01.01.11 г.'!Z395+'[1]убор.пл. ф-8 сост. 01.01.11 г.'!AA395+'[1]убор.пл. ф-8 сост. 01.01.11 г.'!AB395</f>
        <v>#REF!</v>
      </c>
      <c r="U371" s="204"/>
      <c r="V371" s="118"/>
      <c r="W371" s="123" t="e">
        <f>'[1]убор.пл. ф-8 сост. 01.01.11 г.'!S395+'[1]убор.пл. ф-8 сост. 01.01.11 г.'!W395+'[1]убор.пл. ф-8 сост. 01.01.11 г.'!AC395+'[1]убор.пл. ф-8 сост. 01.01.11 г.'!AD395</f>
        <v>#REF!</v>
      </c>
      <c r="X371" s="123"/>
      <c r="Y371" s="123">
        <v>3443</v>
      </c>
      <c r="Z371" s="118"/>
      <c r="AA371" s="123"/>
      <c r="AB371" s="118">
        <v>5298</v>
      </c>
      <c r="AC371" s="206"/>
      <c r="AD371" s="206">
        <f t="shared" si="64"/>
        <v>1444.5</v>
      </c>
      <c r="AE371" s="206"/>
      <c r="AF371" s="206" t="e">
        <f>#REF!-AE371</f>
        <v>#REF!</v>
      </c>
      <c r="AG371" s="206"/>
      <c r="AH371" s="206" t="e">
        <f>#REF!-AG371</f>
        <v>#REF!</v>
      </c>
      <c r="AI371" s="206"/>
      <c r="AJ371" s="258"/>
      <c r="AK371" s="208" t="e">
        <f t="shared" si="61"/>
        <v>#REF!</v>
      </c>
    </row>
    <row r="372" spans="1:37" ht="13.5" x14ac:dyDescent="0.25">
      <c r="A372" s="257">
        <v>27</v>
      </c>
      <c r="B372" s="122" t="s">
        <v>119</v>
      </c>
      <c r="C372" s="122">
        <v>10</v>
      </c>
      <c r="D372" s="122"/>
      <c r="E372" s="204"/>
      <c r="F372" s="123">
        <v>1707</v>
      </c>
      <c r="G372" s="123">
        <f>132</f>
        <v>132</v>
      </c>
      <c r="H372" s="118">
        <v>282</v>
      </c>
      <c r="I372" s="118">
        <v>435</v>
      </c>
      <c r="J372" s="118">
        <v>858</v>
      </c>
      <c r="K372" s="123">
        <f t="shared" si="65"/>
        <v>132</v>
      </c>
      <c r="L372" s="124">
        <f t="shared" si="69"/>
        <v>141</v>
      </c>
      <c r="M372" s="124">
        <f t="shared" si="69"/>
        <v>217.5</v>
      </c>
      <c r="N372" s="124">
        <f t="shared" si="69"/>
        <v>429</v>
      </c>
      <c r="O372" s="124">
        <f t="shared" si="66"/>
        <v>919.5</v>
      </c>
      <c r="P372" s="124">
        <f t="shared" si="67"/>
        <v>141</v>
      </c>
      <c r="Q372" s="124">
        <f t="shared" si="67"/>
        <v>217.5</v>
      </c>
      <c r="R372" s="124">
        <f t="shared" si="67"/>
        <v>429</v>
      </c>
      <c r="S372" s="118">
        <f t="shared" si="68"/>
        <v>787.5</v>
      </c>
      <c r="T372" s="204" t="e">
        <f>'[1]убор.пл. ф-8 сост. 01.01.11 г.'!O396+'[1]убор.пл. ф-8 сост. 01.01.11 г.'!P396+'[1]убор.пл. ф-8 сост. 01.01.11 г.'!Q396+'[1]убор.пл. ф-8 сост. 01.01.11 г.'!R396+'[1]убор.пл. ф-8 сост. 01.01.11 г.'!U396+'[1]убор.пл. ф-8 сост. 01.01.11 г.'!V396+'[1]убор.пл. ф-8 сост. 01.01.11 г.'!X396+'[1]убор.пл. ф-8 сост. 01.01.11 г.'!Z396+'[1]убор.пл. ф-8 сост. 01.01.11 г.'!AA396+'[1]убор.пл. ф-8 сост. 01.01.11 г.'!AB396</f>
        <v>#REF!</v>
      </c>
      <c r="U372" s="204"/>
      <c r="V372" s="118">
        <v>240</v>
      </c>
      <c r="W372" s="123" t="e">
        <f>'[1]убор.пл. ф-8 сост. 01.01.11 г.'!S396+'[1]убор.пл. ф-8 сост. 01.01.11 г.'!W396+'[1]убор.пл. ф-8 сост. 01.01.11 г.'!AC396+'[1]убор.пл. ф-8 сост. 01.01.11 г.'!AD396</f>
        <v>#REF!</v>
      </c>
      <c r="X372" s="123"/>
      <c r="Y372" s="123">
        <v>3343</v>
      </c>
      <c r="Z372" s="118"/>
      <c r="AA372" s="123">
        <v>22</v>
      </c>
      <c r="AB372" s="118">
        <v>5290</v>
      </c>
      <c r="AC372" s="206">
        <v>90</v>
      </c>
      <c r="AD372" s="206">
        <f t="shared" si="64"/>
        <v>829.5</v>
      </c>
      <c r="AE372" s="206"/>
      <c r="AF372" s="206" t="e">
        <f>#REF!-AE372</f>
        <v>#REF!</v>
      </c>
      <c r="AG372" s="206"/>
      <c r="AH372" s="206" t="e">
        <f>#REF!-AG372</f>
        <v>#REF!</v>
      </c>
      <c r="AI372" s="206">
        <v>22</v>
      </c>
      <c r="AJ372" s="258"/>
      <c r="AK372" s="208" t="e">
        <f t="shared" si="61"/>
        <v>#REF!</v>
      </c>
    </row>
    <row r="373" spans="1:37" ht="13.5" x14ac:dyDescent="0.25">
      <c r="A373" s="257">
        <v>28</v>
      </c>
      <c r="B373" s="122" t="s">
        <v>119</v>
      </c>
      <c r="C373" s="122">
        <v>12</v>
      </c>
      <c r="D373" s="122"/>
      <c r="E373" s="204"/>
      <c r="F373" s="123">
        <v>2294</v>
      </c>
      <c r="G373" s="123">
        <f>252+145</f>
        <v>397</v>
      </c>
      <c r="H373" s="118">
        <v>597</v>
      </c>
      <c r="I373" s="118">
        <f>480-145</f>
        <v>335</v>
      </c>
      <c r="J373" s="118">
        <v>965</v>
      </c>
      <c r="K373" s="123">
        <f t="shared" si="65"/>
        <v>397</v>
      </c>
      <c r="L373" s="124">
        <f t="shared" si="69"/>
        <v>298.5</v>
      </c>
      <c r="M373" s="124">
        <f t="shared" si="69"/>
        <v>167.5</v>
      </c>
      <c r="N373" s="124">
        <f t="shared" si="69"/>
        <v>482.5</v>
      </c>
      <c r="O373" s="124">
        <f t="shared" si="66"/>
        <v>1345.5</v>
      </c>
      <c r="P373" s="124">
        <f t="shared" si="67"/>
        <v>298.5</v>
      </c>
      <c r="Q373" s="124">
        <f t="shared" si="67"/>
        <v>167.5</v>
      </c>
      <c r="R373" s="124">
        <f t="shared" si="67"/>
        <v>482.5</v>
      </c>
      <c r="S373" s="118">
        <f t="shared" si="68"/>
        <v>948.5</v>
      </c>
      <c r="T373" s="204" t="e">
        <f>'[1]убор.пл. ф-8 сост. 01.01.11 г.'!O397+'[1]убор.пл. ф-8 сост. 01.01.11 г.'!P397+'[1]убор.пл. ф-8 сост. 01.01.11 г.'!Q397+'[1]убор.пл. ф-8 сост. 01.01.11 г.'!R397+'[1]убор.пл. ф-8 сост. 01.01.11 г.'!U397+'[1]убор.пл. ф-8 сост. 01.01.11 г.'!V397+'[1]убор.пл. ф-8 сост. 01.01.11 г.'!X397+'[1]убор.пл. ф-8 сост. 01.01.11 г.'!Z397+'[1]убор.пл. ф-8 сост. 01.01.11 г.'!AA397+'[1]убор.пл. ф-8 сост. 01.01.11 г.'!AB397</f>
        <v>#REF!</v>
      </c>
      <c r="U373" s="204"/>
      <c r="V373" s="118"/>
      <c r="W373" s="123" t="e">
        <f>'[1]убор.пл. ф-8 сост. 01.01.11 г.'!S397+'[1]убор.пл. ф-8 сост. 01.01.11 г.'!W397+'[1]убор.пл. ф-8 сост. 01.01.11 г.'!AC397+'[1]убор.пл. ф-8 сост. 01.01.11 г.'!AD397</f>
        <v>#REF!</v>
      </c>
      <c r="X373" s="123"/>
      <c r="Y373" s="123">
        <v>10017</v>
      </c>
      <c r="Z373" s="118">
        <v>106</v>
      </c>
      <c r="AA373" s="123"/>
      <c r="AB373" s="118">
        <v>12417</v>
      </c>
      <c r="AC373" s="206"/>
      <c r="AD373" s="206">
        <f t="shared" si="64"/>
        <v>1345.5</v>
      </c>
      <c r="AE373" s="206"/>
      <c r="AF373" s="206" t="e">
        <f>#REF!-AE373</f>
        <v>#REF!</v>
      </c>
      <c r="AG373" s="206">
        <v>110</v>
      </c>
      <c r="AH373" s="206" t="e">
        <f>#REF!-AG373</f>
        <v>#REF!</v>
      </c>
      <c r="AI373" s="206"/>
      <c r="AJ373" s="258"/>
      <c r="AK373" s="208" t="e">
        <f t="shared" si="61"/>
        <v>#REF!</v>
      </c>
    </row>
    <row r="374" spans="1:37" ht="13.5" x14ac:dyDescent="0.25">
      <c r="A374" s="257">
        <v>29</v>
      </c>
      <c r="B374" s="122" t="s">
        <v>119</v>
      </c>
      <c r="C374" s="122">
        <v>14</v>
      </c>
      <c r="D374" s="122"/>
      <c r="E374" s="204">
        <f>188.5+99.1</f>
        <v>287.60000000000002</v>
      </c>
      <c r="F374" s="123">
        <f>1961+E374</f>
        <v>2248.6</v>
      </c>
      <c r="G374" s="123">
        <v>554.6</v>
      </c>
      <c r="H374" s="118">
        <v>328</v>
      </c>
      <c r="I374" s="118">
        <v>505</v>
      </c>
      <c r="J374" s="118">
        <v>861</v>
      </c>
      <c r="K374" s="123">
        <f t="shared" si="65"/>
        <v>554.6</v>
      </c>
      <c r="L374" s="124">
        <f t="shared" si="69"/>
        <v>164</v>
      </c>
      <c r="M374" s="124">
        <f t="shared" si="69"/>
        <v>252.5</v>
      </c>
      <c r="N374" s="124">
        <f t="shared" si="69"/>
        <v>430.5</v>
      </c>
      <c r="O374" s="124">
        <f t="shared" si="66"/>
        <v>1401.6</v>
      </c>
      <c r="P374" s="124">
        <f t="shared" si="67"/>
        <v>164</v>
      </c>
      <c r="Q374" s="124">
        <f t="shared" si="67"/>
        <v>252.5</v>
      </c>
      <c r="R374" s="124">
        <f t="shared" si="67"/>
        <v>430.5</v>
      </c>
      <c r="S374" s="118">
        <f t="shared" si="68"/>
        <v>847</v>
      </c>
      <c r="T374" s="204" t="e">
        <f>'[1]убор.пл. ф-8 сост. 01.01.11 г.'!O398+'[1]убор.пл. ф-8 сост. 01.01.11 г.'!P398+'[1]убор.пл. ф-8 сост. 01.01.11 г.'!Q398+'[1]убор.пл. ф-8 сост. 01.01.11 г.'!R398+'[1]убор.пл. ф-8 сост. 01.01.11 г.'!U398+'[1]убор.пл. ф-8 сост. 01.01.11 г.'!V398+'[1]убор.пл. ф-8 сост. 01.01.11 г.'!X398+'[1]убор.пл. ф-8 сост. 01.01.11 г.'!Z398+'[1]убор.пл. ф-8 сост. 01.01.11 г.'!AA398+'[1]убор.пл. ф-8 сост. 01.01.11 г.'!AB398</f>
        <v>#REF!</v>
      </c>
      <c r="U374" s="204"/>
      <c r="V374" s="118">
        <v>229</v>
      </c>
      <c r="W374" s="123" t="e">
        <f>'[1]убор.пл. ф-8 сост. 01.01.11 г.'!S398+'[1]убор.пл. ф-8 сост. 01.01.11 г.'!W398+'[1]убор.пл. ф-8 сост. 01.01.11 г.'!AC398+'[1]убор.пл. ф-8 сост. 01.01.11 г.'!AD398</f>
        <v>#REF!</v>
      </c>
      <c r="X374" s="123"/>
      <c r="Y374" s="123">
        <f>7426-E374</f>
        <v>7138.4</v>
      </c>
      <c r="Z374" s="118"/>
      <c r="AA374" s="123">
        <v>19</v>
      </c>
      <c r="AB374" s="118">
        <v>9616</v>
      </c>
      <c r="AC374" s="206">
        <v>80</v>
      </c>
      <c r="AD374" s="206">
        <f t="shared" si="64"/>
        <v>1321.6</v>
      </c>
      <c r="AE374" s="206"/>
      <c r="AF374" s="206" t="e">
        <f>#REF!-AE374</f>
        <v>#REF!</v>
      </c>
      <c r="AG374" s="206">
        <v>90</v>
      </c>
      <c r="AH374" s="206" t="e">
        <f>#REF!-AG374</f>
        <v>#REF!</v>
      </c>
      <c r="AI374" s="206">
        <v>19</v>
      </c>
      <c r="AJ374" s="258"/>
      <c r="AK374" s="208" t="e">
        <f t="shared" si="61"/>
        <v>#REF!</v>
      </c>
    </row>
    <row r="375" spans="1:37" ht="13.5" x14ac:dyDescent="0.25">
      <c r="A375" s="257">
        <v>30</v>
      </c>
      <c r="B375" s="122" t="s">
        <v>119</v>
      </c>
      <c r="C375" s="122">
        <v>16</v>
      </c>
      <c r="D375" s="122"/>
      <c r="E375" s="204">
        <f>153.15</f>
        <v>153.15</v>
      </c>
      <c r="F375" s="123">
        <f>1788+E375</f>
        <v>1941.15</v>
      </c>
      <c r="G375" s="123">
        <v>495.15</v>
      </c>
      <c r="H375" s="118">
        <v>513</v>
      </c>
      <c r="I375" s="118">
        <f>848-138</f>
        <v>710</v>
      </c>
      <c r="J375" s="118">
        <v>223</v>
      </c>
      <c r="K375" s="123">
        <f t="shared" si="65"/>
        <v>495.15</v>
      </c>
      <c r="L375" s="124">
        <f t="shared" si="69"/>
        <v>256.5</v>
      </c>
      <c r="M375" s="124">
        <f t="shared" si="69"/>
        <v>355</v>
      </c>
      <c r="N375" s="124">
        <f t="shared" si="69"/>
        <v>111.5</v>
      </c>
      <c r="O375" s="124">
        <f t="shared" si="66"/>
        <v>1218.1500000000001</v>
      </c>
      <c r="P375" s="124">
        <f t="shared" si="67"/>
        <v>256.5</v>
      </c>
      <c r="Q375" s="124">
        <f t="shared" si="67"/>
        <v>355</v>
      </c>
      <c r="R375" s="124">
        <f t="shared" si="67"/>
        <v>111.5</v>
      </c>
      <c r="S375" s="118">
        <f t="shared" si="68"/>
        <v>723</v>
      </c>
      <c r="T375" s="204" t="e">
        <f>'[1]убор.пл. ф-8 сост. 01.01.11 г.'!O399+'[1]убор.пл. ф-8 сост. 01.01.11 г.'!P399+'[1]убор.пл. ф-8 сост. 01.01.11 г.'!Q399+'[1]убор.пл. ф-8 сост. 01.01.11 г.'!R399+'[1]убор.пл. ф-8 сост. 01.01.11 г.'!U399+'[1]убор.пл. ф-8 сост. 01.01.11 г.'!V399+'[1]убор.пл. ф-8 сост. 01.01.11 г.'!X399+'[1]убор.пл. ф-8 сост. 01.01.11 г.'!Z399+'[1]убор.пл. ф-8 сост. 01.01.11 г.'!AA399+'[1]убор.пл. ф-8 сост. 01.01.11 г.'!AB399</f>
        <v>#REF!</v>
      </c>
      <c r="U375" s="204"/>
      <c r="V375" s="118"/>
      <c r="W375" s="123" t="e">
        <f>'[1]убор.пл. ф-8 сост. 01.01.11 г.'!S399+'[1]убор.пл. ф-8 сост. 01.01.11 г.'!W399+'[1]убор.пл. ф-8 сост. 01.01.11 г.'!AC399+'[1]убор.пл. ф-8 сост. 01.01.11 г.'!AD399</f>
        <v>#REF!</v>
      </c>
      <c r="X375" s="123"/>
      <c r="Y375" s="123">
        <f>4773-E375</f>
        <v>4619.8500000000004</v>
      </c>
      <c r="Z375" s="118"/>
      <c r="AA375" s="123"/>
      <c r="AB375" s="118">
        <v>6561</v>
      </c>
      <c r="AC375" s="206">
        <v>30</v>
      </c>
      <c r="AD375" s="206">
        <f t="shared" si="64"/>
        <v>1188.1500000000001</v>
      </c>
      <c r="AE375" s="206"/>
      <c r="AF375" s="206" t="e">
        <f>#REF!-AE375</f>
        <v>#REF!</v>
      </c>
      <c r="AG375" s="206"/>
      <c r="AH375" s="206" t="e">
        <f>#REF!-AG375</f>
        <v>#REF!</v>
      </c>
      <c r="AI375" s="206"/>
      <c r="AJ375" s="258"/>
      <c r="AK375" s="208" t="e">
        <f t="shared" si="61"/>
        <v>#REF!</v>
      </c>
    </row>
    <row r="376" spans="1:37" ht="13.5" x14ac:dyDescent="0.25">
      <c r="A376" s="257">
        <v>31</v>
      </c>
      <c r="B376" s="122" t="s">
        <v>119</v>
      </c>
      <c r="C376" s="122">
        <v>18</v>
      </c>
      <c r="D376" s="122"/>
      <c r="E376" s="204">
        <f>163.8</f>
        <v>163.80000000000001</v>
      </c>
      <c r="F376" s="123">
        <f>4553+E376</f>
        <v>4716.8</v>
      </c>
      <c r="G376" s="123">
        <v>697.8</v>
      </c>
      <c r="H376" s="118">
        <v>774</v>
      </c>
      <c r="I376" s="118">
        <v>1277</v>
      </c>
      <c r="J376" s="118">
        <v>1968</v>
      </c>
      <c r="K376" s="123">
        <f t="shared" si="65"/>
        <v>697.8</v>
      </c>
      <c r="L376" s="124">
        <f t="shared" si="69"/>
        <v>387</v>
      </c>
      <c r="M376" s="124">
        <f t="shared" si="69"/>
        <v>638.5</v>
      </c>
      <c r="N376" s="124">
        <f t="shared" si="69"/>
        <v>984</v>
      </c>
      <c r="O376" s="124">
        <f t="shared" si="66"/>
        <v>2707.3</v>
      </c>
      <c r="P376" s="124">
        <f t="shared" si="67"/>
        <v>387</v>
      </c>
      <c r="Q376" s="124">
        <f t="shared" si="67"/>
        <v>638.5</v>
      </c>
      <c r="R376" s="124">
        <f t="shared" si="67"/>
        <v>984</v>
      </c>
      <c r="S376" s="118">
        <f t="shared" si="68"/>
        <v>2009.5</v>
      </c>
      <c r="T376" s="204" t="e">
        <f>'[1]убор.пл. ф-8 сост. 01.01.11 г.'!O400+'[1]убор.пл. ф-8 сост. 01.01.11 г.'!P400+'[1]убор.пл. ф-8 сост. 01.01.11 г.'!Q400+'[1]убор.пл. ф-8 сост. 01.01.11 г.'!R400+'[1]убор.пл. ф-8 сост. 01.01.11 г.'!U400+'[1]убор.пл. ф-8 сост. 01.01.11 г.'!V400+'[1]убор.пл. ф-8 сост. 01.01.11 г.'!X400+'[1]убор.пл. ф-8 сост. 01.01.11 г.'!Z400+'[1]убор.пл. ф-8 сост. 01.01.11 г.'!AA400+'[1]убор.пл. ф-8 сост. 01.01.11 г.'!AB400</f>
        <v>#REF!</v>
      </c>
      <c r="U376" s="204"/>
      <c r="V376" s="118">
        <v>198</v>
      </c>
      <c r="W376" s="123" t="e">
        <f>'[1]убор.пл. ф-8 сост. 01.01.11 г.'!S400+'[1]убор.пл. ф-8 сост. 01.01.11 г.'!W400+'[1]убор.пл. ф-8 сост. 01.01.11 г.'!AC400+'[1]убор.пл. ф-8 сост. 01.01.11 г.'!AD400</f>
        <v>#REF!</v>
      </c>
      <c r="X376" s="123"/>
      <c r="Y376" s="123">
        <f>13722-E376</f>
        <v>13558.2</v>
      </c>
      <c r="Z376" s="118"/>
      <c r="AA376" s="123">
        <v>18</v>
      </c>
      <c r="AB376" s="118">
        <v>18473</v>
      </c>
      <c r="AC376" s="206"/>
      <c r="AD376" s="206">
        <f t="shared" si="64"/>
        <v>2707.3</v>
      </c>
      <c r="AE376" s="206"/>
      <c r="AF376" s="206" t="e">
        <f>#REF!-AE376</f>
        <v>#REF!</v>
      </c>
      <c r="AG376" s="206">
        <v>310</v>
      </c>
      <c r="AH376" s="206" t="e">
        <f>#REF!-AG376</f>
        <v>#REF!</v>
      </c>
      <c r="AI376" s="206">
        <v>18</v>
      </c>
      <c r="AJ376" s="258"/>
      <c r="AK376" s="208" t="e">
        <f t="shared" si="61"/>
        <v>#REF!</v>
      </c>
    </row>
    <row r="377" spans="1:37" ht="13.5" x14ac:dyDescent="0.25">
      <c r="A377" s="257">
        <v>32</v>
      </c>
      <c r="B377" s="122" t="s">
        <v>119</v>
      </c>
      <c r="C377" s="122">
        <v>20</v>
      </c>
      <c r="D377" s="122"/>
      <c r="E377" s="204"/>
      <c r="F377" s="123">
        <v>2399</v>
      </c>
      <c r="G377" s="123">
        <f>100+29</f>
        <v>129</v>
      </c>
      <c r="H377" s="118">
        <v>483</v>
      </c>
      <c r="I377" s="118">
        <f>1816-29</f>
        <v>1787</v>
      </c>
      <c r="J377" s="118"/>
      <c r="K377" s="123">
        <f t="shared" si="65"/>
        <v>129</v>
      </c>
      <c r="L377" s="124">
        <f t="shared" si="69"/>
        <v>241.5</v>
      </c>
      <c r="M377" s="124">
        <f t="shared" si="69"/>
        <v>893.5</v>
      </c>
      <c r="N377" s="124">
        <f t="shared" si="69"/>
        <v>0</v>
      </c>
      <c r="O377" s="124">
        <f t="shared" si="66"/>
        <v>1264</v>
      </c>
      <c r="P377" s="124">
        <f t="shared" si="67"/>
        <v>241.5</v>
      </c>
      <c r="Q377" s="124">
        <f t="shared" si="67"/>
        <v>893.5</v>
      </c>
      <c r="R377" s="124">
        <f t="shared" si="67"/>
        <v>0</v>
      </c>
      <c r="S377" s="118">
        <f t="shared" si="68"/>
        <v>1135</v>
      </c>
      <c r="T377" s="204" t="e">
        <f>'[1]убор.пл. ф-8 сост. 01.01.11 г.'!O401+'[1]убор.пл. ф-8 сост. 01.01.11 г.'!P401+'[1]убор.пл. ф-8 сост. 01.01.11 г.'!Q401+'[1]убор.пл. ф-8 сост. 01.01.11 г.'!R401+'[1]убор.пл. ф-8 сост. 01.01.11 г.'!U401+'[1]убор.пл. ф-8 сост. 01.01.11 г.'!V401+'[1]убор.пл. ф-8 сост. 01.01.11 г.'!X401+'[1]убор.пл. ф-8 сост. 01.01.11 г.'!Z401+'[1]убор.пл. ф-8 сост. 01.01.11 г.'!AA401+'[1]убор.пл. ф-8 сост. 01.01.11 г.'!AB401</f>
        <v>#REF!</v>
      </c>
      <c r="U377" s="204"/>
      <c r="V377" s="118">
        <v>1141</v>
      </c>
      <c r="W377" s="123" t="e">
        <f>'[1]убор.пл. ф-8 сост. 01.01.11 г.'!S401+'[1]убор.пл. ф-8 сост. 01.01.11 г.'!W401+'[1]убор.пл. ф-8 сост. 01.01.11 г.'!AC401+'[1]убор.пл. ф-8 сост. 01.01.11 г.'!AD401</f>
        <v>#REF!</v>
      </c>
      <c r="X377" s="123"/>
      <c r="Y377" s="123">
        <v>8394</v>
      </c>
      <c r="Z377" s="118"/>
      <c r="AA377" s="123"/>
      <c r="AB377" s="118">
        <v>11934</v>
      </c>
      <c r="AC377" s="206"/>
      <c r="AD377" s="206">
        <f t="shared" si="64"/>
        <v>1264</v>
      </c>
      <c r="AE377" s="206"/>
      <c r="AF377" s="206" t="e">
        <f>#REF!-AE377</f>
        <v>#REF!</v>
      </c>
      <c r="AG377" s="206"/>
      <c r="AH377" s="206" t="e">
        <f>#REF!-AG377</f>
        <v>#REF!</v>
      </c>
      <c r="AI377" s="206"/>
      <c r="AJ377" s="258"/>
      <c r="AK377" s="208" t="e">
        <f t="shared" si="61"/>
        <v>#REF!</v>
      </c>
    </row>
    <row r="378" spans="1:37" ht="13.5" x14ac:dyDescent="0.25">
      <c r="A378" s="257">
        <v>33</v>
      </c>
      <c r="B378" s="122" t="s">
        <v>119</v>
      </c>
      <c r="C378" s="122">
        <v>22</v>
      </c>
      <c r="D378" s="122"/>
      <c r="E378" s="204"/>
      <c r="F378" s="123">
        <v>1255</v>
      </c>
      <c r="G378" s="123">
        <f>97+20</f>
        <v>117</v>
      </c>
      <c r="H378" s="118">
        <v>285</v>
      </c>
      <c r="I378" s="118">
        <f>873-20</f>
        <v>853</v>
      </c>
      <c r="J378" s="118"/>
      <c r="K378" s="123">
        <f t="shared" si="65"/>
        <v>117</v>
      </c>
      <c r="L378" s="124">
        <f t="shared" si="69"/>
        <v>142.5</v>
      </c>
      <c r="M378" s="124">
        <f t="shared" si="69"/>
        <v>426.5</v>
      </c>
      <c r="N378" s="124">
        <f t="shared" si="69"/>
        <v>0</v>
      </c>
      <c r="O378" s="124">
        <f t="shared" si="66"/>
        <v>686</v>
      </c>
      <c r="P378" s="124">
        <f t="shared" si="67"/>
        <v>142.5</v>
      </c>
      <c r="Q378" s="124">
        <f t="shared" si="67"/>
        <v>426.5</v>
      </c>
      <c r="R378" s="124">
        <f t="shared" si="67"/>
        <v>0</v>
      </c>
      <c r="S378" s="118">
        <f t="shared" si="68"/>
        <v>569</v>
      </c>
      <c r="T378" s="204" t="e">
        <f>'[1]убор.пл. ф-8 сост. 01.01.11 г.'!O402+'[1]убор.пл. ф-8 сост. 01.01.11 г.'!P402+'[1]убор.пл. ф-8 сост. 01.01.11 г.'!Q402+'[1]убор.пл. ф-8 сост. 01.01.11 г.'!R402+'[1]убор.пл. ф-8 сост. 01.01.11 г.'!U402+'[1]убор.пл. ф-8 сост. 01.01.11 г.'!V402+'[1]убор.пл. ф-8 сост. 01.01.11 г.'!X402+'[1]убор.пл. ф-8 сост. 01.01.11 г.'!Z402+'[1]убор.пл. ф-8 сост. 01.01.11 г.'!AA402+'[1]убор.пл. ф-8 сост. 01.01.11 г.'!AB402</f>
        <v>#REF!</v>
      </c>
      <c r="U378" s="204"/>
      <c r="V378" s="118">
        <v>213</v>
      </c>
      <c r="W378" s="123" t="e">
        <f>'[1]убор.пл. ф-8 сост. 01.01.11 г.'!S402+'[1]убор.пл. ф-8 сост. 01.01.11 г.'!W402+'[1]убор.пл. ф-8 сост. 01.01.11 г.'!AC402+'[1]убор.пл. ф-8 сост. 01.01.11 г.'!AD402</f>
        <v>#REF!</v>
      </c>
      <c r="X378" s="123"/>
      <c r="Y378" s="123">
        <v>6102</v>
      </c>
      <c r="Z378" s="118"/>
      <c r="AA378" s="123"/>
      <c r="AB378" s="118">
        <v>7570</v>
      </c>
      <c r="AC378" s="206"/>
      <c r="AD378" s="206">
        <f t="shared" si="64"/>
        <v>686</v>
      </c>
      <c r="AE378" s="206"/>
      <c r="AF378" s="206" t="e">
        <f>#REF!-AE378</f>
        <v>#REF!</v>
      </c>
      <c r="AG378" s="206">
        <v>70</v>
      </c>
      <c r="AH378" s="206" t="e">
        <f>#REF!-AG378</f>
        <v>#REF!</v>
      </c>
      <c r="AI378" s="206"/>
      <c r="AJ378" s="258"/>
      <c r="AK378" s="208" t="e">
        <f t="shared" si="61"/>
        <v>#REF!</v>
      </c>
    </row>
    <row r="379" spans="1:37" ht="13.5" x14ac:dyDescent="0.25">
      <c r="A379" s="257">
        <v>34</v>
      </c>
      <c r="B379" s="203" t="s">
        <v>175</v>
      </c>
      <c r="C379" s="203">
        <v>23</v>
      </c>
      <c r="D379" s="203"/>
      <c r="E379" s="204"/>
      <c r="F379" s="123">
        <v>2044</v>
      </c>
      <c r="G379" s="123">
        <f>70</f>
        <v>70</v>
      </c>
      <c r="H379" s="118">
        <v>724</v>
      </c>
      <c r="I379" s="118"/>
      <c r="J379" s="118">
        <f>1250</f>
        <v>1250</v>
      </c>
      <c r="K379" s="123">
        <f t="shared" si="65"/>
        <v>70</v>
      </c>
      <c r="L379" s="124">
        <f t="shared" si="69"/>
        <v>362</v>
      </c>
      <c r="M379" s="124">
        <f t="shared" si="69"/>
        <v>0</v>
      </c>
      <c r="N379" s="124">
        <f t="shared" si="69"/>
        <v>625</v>
      </c>
      <c r="O379" s="124">
        <f t="shared" si="66"/>
        <v>1057</v>
      </c>
      <c r="P379" s="124">
        <f t="shared" si="67"/>
        <v>362</v>
      </c>
      <c r="Q379" s="124">
        <f t="shared" si="67"/>
        <v>0</v>
      </c>
      <c r="R379" s="124">
        <f t="shared" si="67"/>
        <v>625</v>
      </c>
      <c r="S379" s="118">
        <f t="shared" si="68"/>
        <v>987</v>
      </c>
      <c r="T379" s="204">
        <v>355</v>
      </c>
      <c r="U379" s="204"/>
      <c r="V379" s="118">
        <v>355</v>
      </c>
      <c r="W379" s="123" t="e">
        <f>'[1]убор.пл. ф-8 сост. 01.01.11 г.'!S403+'[1]убор.пл. ф-8 сост. 01.01.11 г.'!W403+'[1]убор.пл. ф-8 сост. 01.01.11 г.'!AC403+'[1]убор.пл. ф-8 сост. 01.01.11 г.'!AD403</f>
        <v>#REF!</v>
      </c>
      <c r="X379" s="123"/>
      <c r="Y379" s="123">
        <v>2600</v>
      </c>
      <c r="Z379" s="118"/>
      <c r="AA379" s="123"/>
      <c r="AB379" s="118">
        <v>4999</v>
      </c>
      <c r="AC379" s="206"/>
      <c r="AD379" s="206">
        <f t="shared" si="64"/>
        <v>1057</v>
      </c>
      <c r="AE379" s="206"/>
      <c r="AF379" s="206" t="e">
        <f>#REF!-AE379</f>
        <v>#REF!</v>
      </c>
      <c r="AG379" s="206">
        <v>30</v>
      </c>
      <c r="AH379" s="206" t="e">
        <f>#REF!-AG379</f>
        <v>#REF!</v>
      </c>
      <c r="AI379" s="206"/>
      <c r="AJ379" s="258"/>
      <c r="AK379" s="208" t="e">
        <f t="shared" si="61"/>
        <v>#REF!</v>
      </c>
    </row>
    <row r="380" spans="1:37" ht="13.5" x14ac:dyDescent="0.25">
      <c r="A380" s="257">
        <v>35</v>
      </c>
      <c r="B380" s="122" t="s">
        <v>175</v>
      </c>
      <c r="C380" s="122">
        <v>25</v>
      </c>
      <c r="D380" s="122"/>
      <c r="E380" s="204"/>
      <c r="F380" s="123">
        <v>1734</v>
      </c>
      <c r="G380" s="123">
        <f>100+51</f>
        <v>151</v>
      </c>
      <c r="H380" s="118">
        <v>190</v>
      </c>
      <c r="I380" s="118">
        <f>270-51</f>
        <v>219</v>
      </c>
      <c r="J380" s="118">
        <v>1174</v>
      </c>
      <c r="K380" s="123">
        <f t="shared" si="65"/>
        <v>151</v>
      </c>
      <c r="L380" s="124">
        <f t="shared" si="69"/>
        <v>95</v>
      </c>
      <c r="M380" s="124">
        <f t="shared" si="69"/>
        <v>109.5</v>
      </c>
      <c r="N380" s="124">
        <f t="shared" si="69"/>
        <v>587</v>
      </c>
      <c r="O380" s="124">
        <f t="shared" si="66"/>
        <v>942.5</v>
      </c>
      <c r="P380" s="124">
        <f t="shared" si="67"/>
        <v>95</v>
      </c>
      <c r="Q380" s="124">
        <f t="shared" si="67"/>
        <v>109.5</v>
      </c>
      <c r="R380" s="124">
        <f t="shared" si="67"/>
        <v>587</v>
      </c>
      <c r="S380" s="118">
        <f t="shared" si="68"/>
        <v>791.5</v>
      </c>
      <c r="T380" s="204" t="e">
        <f>'[1]убор.пл. ф-8 сост. 01.01.11 г.'!O404+'[1]убор.пл. ф-8 сост. 01.01.11 г.'!P404+'[1]убор.пл. ф-8 сост. 01.01.11 г.'!Q404+'[1]убор.пл. ф-8 сост. 01.01.11 г.'!R404+'[1]убор.пл. ф-8 сост. 01.01.11 г.'!U404+'[1]убор.пл. ф-8 сост. 01.01.11 г.'!V404+'[1]убор.пл. ф-8 сост. 01.01.11 г.'!X404+'[1]убор.пл. ф-8 сост. 01.01.11 г.'!Z404+'[1]убор.пл. ф-8 сост. 01.01.11 г.'!AA404+'[1]убор.пл. ф-8 сост. 01.01.11 г.'!AB404</f>
        <v>#REF!</v>
      </c>
      <c r="U380" s="204"/>
      <c r="V380" s="118">
        <v>200</v>
      </c>
      <c r="W380" s="123" t="e">
        <f>'[1]убор.пл. ф-8 сост. 01.01.11 г.'!S404+'[1]убор.пл. ф-8 сост. 01.01.11 г.'!W404+'[1]убор.пл. ф-8 сост. 01.01.11 г.'!AC404+'[1]убор.пл. ф-8 сост. 01.01.11 г.'!AD404</f>
        <v>#REF!</v>
      </c>
      <c r="X380" s="123"/>
      <c r="Y380" s="123">
        <v>1654</v>
      </c>
      <c r="Z380" s="118"/>
      <c r="AA380" s="123">
        <v>32</v>
      </c>
      <c r="AB380" s="118">
        <v>3588</v>
      </c>
      <c r="AC380" s="206"/>
      <c r="AD380" s="206">
        <f t="shared" si="64"/>
        <v>942.5</v>
      </c>
      <c r="AE380" s="206"/>
      <c r="AF380" s="206" t="e">
        <f>#REF!-AE380</f>
        <v>#REF!</v>
      </c>
      <c r="AG380" s="206"/>
      <c r="AH380" s="206" t="e">
        <f>#REF!-AG380</f>
        <v>#REF!</v>
      </c>
      <c r="AI380" s="206">
        <v>32</v>
      </c>
      <c r="AJ380" s="258"/>
      <c r="AK380" s="208" t="e">
        <f t="shared" si="61"/>
        <v>#REF!</v>
      </c>
    </row>
    <row r="381" spans="1:37" ht="13.5" x14ac:dyDescent="0.25">
      <c r="A381" s="257">
        <v>36</v>
      </c>
      <c r="B381" s="122" t="s">
        <v>175</v>
      </c>
      <c r="C381" s="122">
        <v>27</v>
      </c>
      <c r="D381" s="122"/>
      <c r="E381" s="204"/>
      <c r="F381" s="123">
        <v>1548</v>
      </c>
      <c r="G381" s="123">
        <f>100</f>
        <v>100</v>
      </c>
      <c r="H381" s="118">
        <v>215</v>
      </c>
      <c r="I381" s="118">
        <v>336</v>
      </c>
      <c r="J381" s="118">
        <v>897</v>
      </c>
      <c r="K381" s="123">
        <f t="shared" si="65"/>
        <v>100</v>
      </c>
      <c r="L381" s="124">
        <f t="shared" si="69"/>
        <v>107.5</v>
      </c>
      <c r="M381" s="124">
        <f t="shared" si="69"/>
        <v>168</v>
      </c>
      <c r="N381" s="124">
        <f t="shared" si="69"/>
        <v>448.5</v>
      </c>
      <c r="O381" s="124">
        <f t="shared" si="66"/>
        <v>824</v>
      </c>
      <c r="P381" s="124">
        <f t="shared" si="67"/>
        <v>107.5</v>
      </c>
      <c r="Q381" s="124">
        <f t="shared" si="67"/>
        <v>168</v>
      </c>
      <c r="R381" s="124">
        <f t="shared" si="67"/>
        <v>448.5</v>
      </c>
      <c r="S381" s="118">
        <f t="shared" si="68"/>
        <v>724</v>
      </c>
      <c r="T381" s="204"/>
      <c r="U381" s="204"/>
      <c r="V381" s="118"/>
      <c r="W381" s="123" t="e">
        <f>'[1]убор.пл. ф-8 сост. 01.01.11 г.'!S405+'[1]убор.пл. ф-8 сост. 01.01.11 г.'!W405+'[1]убор.пл. ф-8 сост. 01.01.11 г.'!AC405+'[1]убор.пл. ф-8 сост. 01.01.11 г.'!AD405</f>
        <v>#REF!</v>
      </c>
      <c r="X381" s="123"/>
      <c r="Y381" s="123">
        <v>2281</v>
      </c>
      <c r="Z381" s="118"/>
      <c r="AA381" s="123"/>
      <c r="AB381" s="118">
        <v>3829</v>
      </c>
      <c r="AC381" s="206"/>
      <c r="AD381" s="206">
        <f t="shared" si="64"/>
        <v>824</v>
      </c>
      <c r="AE381" s="206"/>
      <c r="AF381" s="206" t="e">
        <f>#REF!-AE381</f>
        <v>#REF!</v>
      </c>
      <c r="AG381" s="206">
        <v>50</v>
      </c>
      <c r="AH381" s="206" t="e">
        <f>#REF!-AG381</f>
        <v>#REF!</v>
      </c>
      <c r="AI381" s="206"/>
      <c r="AJ381" s="258"/>
      <c r="AK381" s="208" t="e">
        <f t="shared" si="61"/>
        <v>#REF!</v>
      </c>
    </row>
    <row r="382" spans="1:37" ht="13.5" x14ac:dyDescent="0.25">
      <c r="A382" s="257">
        <v>37</v>
      </c>
      <c r="B382" s="122" t="s">
        <v>175</v>
      </c>
      <c r="C382" s="122">
        <v>29</v>
      </c>
      <c r="D382" s="122"/>
      <c r="E382" s="204"/>
      <c r="F382" s="123">
        <v>2448</v>
      </c>
      <c r="G382" s="123">
        <f>100+36</f>
        <v>136</v>
      </c>
      <c r="H382" s="118">
        <v>658</v>
      </c>
      <c r="I382" s="118">
        <f>300-36</f>
        <v>264</v>
      </c>
      <c r="J382" s="118">
        <v>1390</v>
      </c>
      <c r="K382" s="123">
        <f t="shared" si="65"/>
        <v>136</v>
      </c>
      <c r="L382" s="124">
        <f t="shared" si="69"/>
        <v>329</v>
      </c>
      <c r="M382" s="124">
        <f t="shared" si="69"/>
        <v>132</v>
      </c>
      <c r="N382" s="124">
        <f t="shared" si="69"/>
        <v>695</v>
      </c>
      <c r="O382" s="124">
        <f t="shared" si="66"/>
        <v>1292</v>
      </c>
      <c r="P382" s="124">
        <f t="shared" si="67"/>
        <v>329</v>
      </c>
      <c r="Q382" s="124">
        <f t="shared" si="67"/>
        <v>132</v>
      </c>
      <c r="R382" s="124">
        <f t="shared" si="67"/>
        <v>695</v>
      </c>
      <c r="S382" s="118">
        <f t="shared" si="68"/>
        <v>1156</v>
      </c>
      <c r="T382" s="204" t="e">
        <f>'[1]убор.пл. ф-8 сост. 01.01.11 г.'!O406+'[1]убор.пл. ф-8 сост. 01.01.11 г.'!P406+'[1]убор.пл. ф-8 сост. 01.01.11 г.'!Q406+'[1]убор.пл. ф-8 сост. 01.01.11 г.'!R406+'[1]убор.пл. ф-8 сост. 01.01.11 г.'!U406+'[1]убор.пл. ф-8 сост. 01.01.11 г.'!V406+'[1]убор.пл. ф-8 сост. 01.01.11 г.'!X406+'[1]убор.пл. ф-8 сост. 01.01.11 г.'!Z406+'[1]убор.пл. ф-8 сост. 01.01.11 г.'!AA406+'[1]убор.пл. ф-8 сост. 01.01.11 г.'!AB406</f>
        <v>#REF!</v>
      </c>
      <c r="U382" s="204"/>
      <c r="V382" s="118">
        <v>234</v>
      </c>
      <c r="W382" s="123" t="e">
        <f>'[1]убор.пл. ф-8 сост. 01.01.11 г.'!S406+'[1]убор.пл. ф-8 сост. 01.01.11 г.'!W406+'[1]убор.пл. ф-8 сост. 01.01.11 г.'!AC406+'[1]убор.пл. ф-8 сост. 01.01.11 г.'!AD406</f>
        <v>#REF!</v>
      </c>
      <c r="X382" s="123"/>
      <c r="Y382" s="123">
        <v>4730</v>
      </c>
      <c r="Z382" s="118"/>
      <c r="AA382" s="123">
        <v>24</v>
      </c>
      <c r="AB382" s="118">
        <v>7412</v>
      </c>
      <c r="AC382" s="206">
        <v>10</v>
      </c>
      <c r="AD382" s="206">
        <f t="shared" si="64"/>
        <v>1282</v>
      </c>
      <c r="AE382" s="206"/>
      <c r="AF382" s="206" t="e">
        <f>#REF!-AE382</f>
        <v>#REF!</v>
      </c>
      <c r="AG382" s="206"/>
      <c r="AH382" s="206" t="e">
        <f>#REF!-AG382</f>
        <v>#REF!</v>
      </c>
      <c r="AI382" s="206">
        <v>24</v>
      </c>
      <c r="AJ382" s="258"/>
      <c r="AK382" s="208" t="e">
        <f t="shared" si="61"/>
        <v>#REF!</v>
      </c>
    </row>
    <row r="383" spans="1:37" ht="13.5" x14ac:dyDescent="0.25">
      <c r="A383" s="257">
        <v>38</v>
      </c>
      <c r="B383" s="122" t="s">
        <v>175</v>
      </c>
      <c r="C383" s="122">
        <v>31</v>
      </c>
      <c r="D383" s="122"/>
      <c r="E383" s="204"/>
      <c r="F383" s="123">
        <v>2463</v>
      </c>
      <c r="G383" s="123">
        <f>100</f>
        <v>100</v>
      </c>
      <c r="H383" s="118">
        <v>533</v>
      </c>
      <c r="I383" s="118">
        <v>380</v>
      </c>
      <c r="J383" s="118">
        <v>1450</v>
      </c>
      <c r="K383" s="123">
        <f t="shared" si="65"/>
        <v>100</v>
      </c>
      <c r="L383" s="124">
        <f t="shared" si="69"/>
        <v>266.5</v>
      </c>
      <c r="M383" s="124">
        <f t="shared" si="69"/>
        <v>190</v>
      </c>
      <c r="N383" s="124">
        <f t="shared" si="69"/>
        <v>725</v>
      </c>
      <c r="O383" s="124">
        <f t="shared" si="66"/>
        <v>1281.5</v>
      </c>
      <c r="P383" s="124">
        <f t="shared" si="67"/>
        <v>266.5</v>
      </c>
      <c r="Q383" s="124">
        <f t="shared" si="67"/>
        <v>190</v>
      </c>
      <c r="R383" s="124">
        <f t="shared" si="67"/>
        <v>725</v>
      </c>
      <c r="S383" s="118">
        <f t="shared" si="68"/>
        <v>1181.5</v>
      </c>
      <c r="T383" s="204"/>
      <c r="U383" s="204"/>
      <c r="V383" s="118"/>
      <c r="W383" s="123" t="e">
        <f>'[1]убор.пл. ф-8 сост. 01.01.11 г.'!S407+'[1]убор.пл. ф-8 сост. 01.01.11 г.'!W407+'[1]убор.пл. ф-8 сост. 01.01.11 г.'!AC407+'[1]убор.пл. ф-8 сост. 01.01.11 г.'!AD407</f>
        <v>#REF!</v>
      </c>
      <c r="X383" s="123"/>
      <c r="Y383" s="123">
        <v>3210</v>
      </c>
      <c r="Z383" s="118"/>
      <c r="AA383" s="123"/>
      <c r="AB383" s="118">
        <v>5673</v>
      </c>
      <c r="AC383" s="206"/>
      <c r="AD383" s="206">
        <f t="shared" si="64"/>
        <v>1281.5</v>
      </c>
      <c r="AE383" s="206"/>
      <c r="AF383" s="206" t="e">
        <f>#REF!-AE383</f>
        <v>#REF!</v>
      </c>
      <c r="AG383" s="206"/>
      <c r="AH383" s="206" t="e">
        <f>#REF!-AG383</f>
        <v>#REF!</v>
      </c>
      <c r="AI383" s="206"/>
      <c r="AJ383" s="258"/>
      <c r="AK383" s="208" t="e">
        <f t="shared" si="61"/>
        <v>#REF!</v>
      </c>
    </row>
    <row r="384" spans="1:37" ht="13.5" x14ac:dyDescent="0.25">
      <c r="A384" s="257">
        <v>39</v>
      </c>
      <c r="B384" s="122" t="s">
        <v>175</v>
      </c>
      <c r="C384" s="122">
        <v>33</v>
      </c>
      <c r="D384" s="122">
        <v>1</v>
      </c>
      <c r="E384" s="204"/>
      <c r="F384" s="123">
        <v>2357</v>
      </c>
      <c r="G384" s="123">
        <f>100</f>
        <v>100</v>
      </c>
      <c r="H384" s="118">
        <v>380</v>
      </c>
      <c r="I384" s="118">
        <v>229</v>
      </c>
      <c r="J384" s="118">
        <v>1648</v>
      </c>
      <c r="K384" s="123">
        <f t="shared" si="65"/>
        <v>100</v>
      </c>
      <c r="L384" s="124">
        <f t="shared" si="69"/>
        <v>190</v>
      </c>
      <c r="M384" s="124">
        <f t="shared" si="69"/>
        <v>114.5</v>
      </c>
      <c r="N384" s="124">
        <f t="shared" si="69"/>
        <v>824</v>
      </c>
      <c r="O384" s="124">
        <f t="shared" si="66"/>
        <v>1228.5</v>
      </c>
      <c r="P384" s="124">
        <f t="shared" si="67"/>
        <v>190</v>
      </c>
      <c r="Q384" s="124">
        <f t="shared" si="67"/>
        <v>114.5</v>
      </c>
      <c r="R384" s="124">
        <f t="shared" si="67"/>
        <v>824</v>
      </c>
      <c r="S384" s="118">
        <f t="shared" si="68"/>
        <v>1128.5</v>
      </c>
      <c r="T384" s="204" t="e">
        <f>'[1]убор.пл. ф-8 сост. 01.01.11 г.'!O408+'[1]убор.пл. ф-8 сост. 01.01.11 г.'!P408+'[1]убор.пл. ф-8 сост. 01.01.11 г.'!Q408+'[1]убор.пл. ф-8 сост. 01.01.11 г.'!R408+'[1]убор.пл. ф-8 сост. 01.01.11 г.'!U408+'[1]убор.пл. ф-8 сост. 01.01.11 г.'!V408+'[1]убор.пл. ф-8 сост. 01.01.11 г.'!X408+'[1]убор.пл. ф-8 сост. 01.01.11 г.'!Z408+'[1]убор.пл. ф-8 сост. 01.01.11 г.'!AA408+'[1]убор.пл. ф-8 сост. 01.01.11 г.'!AB408</f>
        <v>#REF!</v>
      </c>
      <c r="U384" s="204"/>
      <c r="V384" s="118">
        <v>70</v>
      </c>
      <c r="W384" s="123" t="e">
        <f>'[1]убор.пл. ф-8 сост. 01.01.11 г.'!S408+'[1]убор.пл. ф-8 сост. 01.01.11 г.'!W408+'[1]убор.пл. ф-8 сост. 01.01.11 г.'!AC408+'[1]убор.пл. ф-8 сост. 01.01.11 г.'!AD408</f>
        <v>#REF!</v>
      </c>
      <c r="X384" s="123"/>
      <c r="Y384" s="123">
        <v>2404</v>
      </c>
      <c r="Z384" s="118"/>
      <c r="AA384" s="123">
        <v>49</v>
      </c>
      <c r="AB384" s="118">
        <v>4831</v>
      </c>
      <c r="AC384" s="206">
        <v>100</v>
      </c>
      <c r="AD384" s="206">
        <f t="shared" si="64"/>
        <v>1128.5</v>
      </c>
      <c r="AE384" s="206"/>
      <c r="AF384" s="206" t="e">
        <f>#REF!-AE384</f>
        <v>#REF!</v>
      </c>
      <c r="AG384" s="206">
        <v>20</v>
      </c>
      <c r="AH384" s="206" t="e">
        <f>#REF!-AG384</f>
        <v>#REF!</v>
      </c>
      <c r="AI384" s="206">
        <v>49</v>
      </c>
      <c r="AJ384" s="258"/>
      <c r="AK384" s="208" t="e">
        <f t="shared" si="61"/>
        <v>#REF!</v>
      </c>
    </row>
    <row r="385" spans="1:37" ht="13.5" x14ac:dyDescent="0.25">
      <c r="A385" s="257">
        <v>40</v>
      </c>
      <c r="B385" s="122" t="s">
        <v>175</v>
      </c>
      <c r="C385" s="122">
        <v>33</v>
      </c>
      <c r="D385" s="122">
        <v>2</v>
      </c>
      <c r="E385" s="204"/>
      <c r="F385" s="123">
        <v>3303</v>
      </c>
      <c r="G385" s="123">
        <f>96+229</f>
        <v>325</v>
      </c>
      <c r="H385" s="118">
        <f>1533-1097+1097</f>
        <v>1533</v>
      </c>
      <c r="I385" s="118">
        <f>400-229</f>
        <v>171</v>
      </c>
      <c r="J385" s="118">
        <v>1274</v>
      </c>
      <c r="K385" s="123">
        <f t="shared" si="65"/>
        <v>325</v>
      </c>
      <c r="L385" s="124">
        <f t="shared" si="69"/>
        <v>766.5</v>
      </c>
      <c r="M385" s="124">
        <f t="shared" si="69"/>
        <v>85.5</v>
      </c>
      <c r="N385" s="124">
        <f t="shared" si="69"/>
        <v>637</v>
      </c>
      <c r="O385" s="124">
        <f t="shared" si="66"/>
        <v>1814</v>
      </c>
      <c r="P385" s="124">
        <f t="shared" si="67"/>
        <v>766.5</v>
      </c>
      <c r="Q385" s="124">
        <f t="shared" si="67"/>
        <v>85.5</v>
      </c>
      <c r="R385" s="124">
        <f t="shared" si="67"/>
        <v>637</v>
      </c>
      <c r="S385" s="118">
        <f t="shared" si="68"/>
        <v>1489</v>
      </c>
      <c r="T385" s="204" t="e">
        <f>'[1]убор.пл. ф-8 сост. 01.01.11 г.'!O409+'[1]убор.пл. ф-8 сост. 01.01.11 г.'!P409+'[1]убор.пл. ф-8 сост. 01.01.11 г.'!Q409+'[1]убор.пл. ф-8 сост. 01.01.11 г.'!R409+'[1]убор.пл. ф-8 сост. 01.01.11 г.'!U409+'[1]убор.пл. ф-8 сост. 01.01.11 г.'!V409+'[1]убор.пл. ф-8 сост. 01.01.11 г.'!X409+'[1]убор.пл. ф-8 сост. 01.01.11 г.'!Z409+'[1]убор.пл. ф-8 сост. 01.01.11 г.'!AA409+'[1]убор.пл. ф-8 сост. 01.01.11 г.'!AB409</f>
        <v>#REF!</v>
      </c>
      <c r="U385" s="204"/>
      <c r="V385" s="118">
        <v>204</v>
      </c>
      <c r="W385" s="123" t="e">
        <f>'[1]убор.пл. ф-8 сост. 01.01.11 г.'!S409+'[1]убор.пл. ф-8 сост. 01.01.11 г.'!W409+'[1]убор.пл. ф-8 сост. 01.01.11 г.'!AC409+'[1]убор.пл. ф-8 сост. 01.01.11 г.'!AD409</f>
        <v>#REF!</v>
      </c>
      <c r="X385" s="123"/>
      <c r="Y385" s="123">
        <v>4476</v>
      </c>
      <c r="Z385" s="118"/>
      <c r="AA385" s="123"/>
      <c r="AB385" s="118">
        <v>7983</v>
      </c>
      <c r="AC385" s="206">
        <v>110</v>
      </c>
      <c r="AD385" s="206">
        <f t="shared" si="64"/>
        <v>1704</v>
      </c>
      <c r="AE385" s="206"/>
      <c r="AF385" s="206" t="e">
        <f>#REF!-AE385</f>
        <v>#REF!</v>
      </c>
      <c r="AG385" s="206">
        <v>30</v>
      </c>
      <c r="AH385" s="206" t="e">
        <f>#REF!-AG385</f>
        <v>#REF!</v>
      </c>
      <c r="AI385" s="206"/>
      <c r="AJ385" s="258"/>
      <c r="AK385" s="208" t="e">
        <f t="shared" si="61"/>
        <v>#REF!</v>
      </c>
    </row>
    <row r="386" spans="1:37" ht="13.5" x14ac:dyDescent="0.25">
      <c r="A386" s="257">
        <v>41</v>
      </c>
      <c r="B386" s="122" t="s">
        <v>175</v>
      </c>
      <c r="C386" s="122">
        <v>33</v>
      </c>
      <c r="D386" s="122">
        <v>3</v>
      </c>
      <c r="E386" s="204"/>
      <c r="F386" s="123">
        <v>1680</v>
      </c>
      <c r="G386" s="123">
        <f>107</f>
        <v>107</v>
      </c>
      <c r="H386" s="118">
        <v>911</v>
      </c>
      <c r="I386" s="118"/>
      <c r="J386" s="118">
        <v>662</v>
      </c>
      <c r="K386" s="123">
        <f t="shared" si="65"/>
        <v>107</v>
      </c>
      <c r="L386" s="124">
        <f t="shared" si="69"/>
        <v>455.5</v>
      </c>
      <c r="M386" s="124">
        <f t="shared" si="69"/>
        <v>0</v>
      </c>
      <c r="N386" s="124">
        <f t="shared" si="69"/>
        <v>331</v>
      </c>
      <c r="O386" s="124">
        <f t="shared" si="66"/>
        <v>893.5</v>
      </c>
      <c r="P386" s="124">
        <f t="shared" si="67"/>
        <v>455.5</v>
      </c>
      <c r="Q386" s="124">
        <f t="shared" si="67"/>
        <v>0</v>
      </c>
      <c r="R386" s="124">
        <f t="shared" si="67"/>
        <v>331</v>
      </c>
      <c r="S386" s="118">
        <f t="shared" si="68"/>
        <v>786.5</v>
      </c>
      <c r="T386" s="204" t="e">
        <f>'[1]убор.пл. ф-8 сост. 01.01.11 г.'!O410+'[1]убор.пл. ф-8 сост. 01.01.11 г.'!P410+'[1]убор.пл. ф-8 сост. 01.01.11 г.'!Q410+'[1]убор.пл. ф-8 сост. 01.01.11 г.'!R410+'[1]убор.пл. ф-8 сост. 01.01.11 г.'!U410+'[1]убор.пл. ф-8 сост. 01.01.11 г.'!V410+'[1]убор.пл. ф-8 сост. 01.01.11 г.'!X410+'[1]убор.пл. ф-8 сост. 01.01.11 г.'!Z410+'[1]убор.пл. ф-8 сост. 01.01.11 г.'!AA410+'[1]убор.пл. ф-8 сост. 01.01.11 г.'!AB410</f>
        <v>#REF!</v>
      </c>
      <c r="U386" s="204"/>
      <c r="V386" s="118">
        <v>194</v>
      </c>
      <c r="W386" s="123" t="e">
        <f>'[1]убор.пл. ф-8 сост. 01.01.11 г.'!S410+'[1]убор.пл. ф-8 сост. 01.01.11 г.'!W410+'[1]убор.пл. ф-8 сост. 01.01.11 г.'!AC410+'[1]убор.пл. ф-8 сост. 01.01.11 г.'!AD410</f>
        <v>#REF!</v>
      </c>
      <c r="X386" s="123"/>
      <c r="Y386" s="123">
        <v>5128</v>
      </c>
      <c r="Z386" s="118"/>
      <c r="AA386" s="123"/>
      <c r="AB386" s="118">
        <v>7002</v>
      </c>
      <c r="AC386" s="206"/>
      <c r="AD386" s="206">
        <f t="shared" si="64"/>
        <v>893.5</v>
      </c>
      <c r="AE386" s="206"/>
      <c r="AF386" s="206" t="e">
        <f>#REF!-AE386</f>
        <v>#REF!</v>
      </c>
      <c r="AG386" s="206"/>
      <c r="AH386" s="206" t="e">
        <f>#REF!-AG386</f>
        <v>#REF!</v>
      </c>
      <c r="AI386" s="206"/>
      <c r="AJ386" s="258"/>
      <c r="AK386" s="208" t="e">
        <f t="shared" si="61"/>
        <v>#REF!</v>
      </c>
    </row>
    <row r="387" spans="1:37" ht="13.5" x14ac:dyDescent="0.25">
      <c r="A387" s="257">
        <v>42</v>
      </c>
      <c r="B387" s="122" t="s">
        <v>175</v>
      </c>
      <c r="C387" s="122">
        <v>33</v>
      </c>
      <c r="D387" s="122">
        <v>4</v>
      </c>
      <c r="E387" s="204"/>
      <c r="F387" s="123">
        <v>1405</v>
      </c>
      <c r="G387" s="123">
        <f>101+53</f>
        <v>154</v>
      </c>
      <c r="H387" s="118">
        <v>451</v>
      </c>
      <c r="I387" s="118">
        <f>453-53</f>
        <v>400</v>
      </c>
      <c r="J387" s="118">
        <v>400</v>
      </c>
      <c r="K387" s="123">
        <f t="shared" si="65"/>
        <v>154</v>
      </c>
      <c r="L387" s="124">
        <f t="shared" si="69"/>
        <v>225.5</v>
      </c>
      <c r="M387" s="124">
        <f t="shared" si="69"/>
        <v>200</v>
      </c>
      <c r="N387" s="124">
        <f t="shared" si="69"/>
        <v>200</v>
      </c>
      <c r="O387" s="124">
        <f t="shared" si="66"/>
        <v>779.5</v>
      </c>
      <c r="P387" s="124">
        <f t="shared" si="67"/>
        <v>225.5</v>
      </c>
      <c r="Q387" s="124">
        <f t="shared" si="67"/>
        <v>200</v>
      </c>
      <c r="R387" s="124">
        <f t="shared" si="67"/>
        <v>200</v>
      </c>
      <c r="S387" s="118">
        <f t="shared" si="68"/>
        <v>625.5</v>
      </c>
      <c r="T387" s="204" t="e">
        <f>'[1]убор.пл. ф-8 сост. 01.01.11 г.'!O411+'[1]убор.пл. ф-8 сост. 01.01.11 г.'!P411+'[1]убор.пл. ф-8 сост. 01.01.11 г.'!Q411+'[1]убор.пл. ф-8 сост. 01.01.11 г.'!R411+'[1]убор.пл. ф-8 сост. 01.01.11 г.'!U411+'[1]убор.пл. ф-8 сост. 01.01.11 г.'!V411+'[1]убор.пл. ф-8 сост. 01.01.11 г.'!X411+'[1]убор.пл. ф-8 сост. 01.01.11 г.'!Z411+'[1]убор.пл. ф-8 сост. 01.01.11 г.'!AA411+'[1]убор.пл. ф-8 сост. 01.01.11 г.'!AB411</f>
        <v>#REF!</v>
      </c>
      <c r="U387" s="204"/>
      <c r="V387" s="118">
        <v>408</v>
      </c>
      <c r="W387" s="123" t="e">
        <f>'[1]убор.пл. ф-8 сост. 01.01.11 г.'!S411+'[1]убор.пл. ф-8 сост. 01.01.11 г.'!W411+'[1]убор.пл. ф-8 сост. 01.01.11 г.'!AC411+'[1]убор.пл. ф-8 сост. 01.01.11 г.'!AD411</f>
        <v>#REF!</v>
      </c>
      <c r="X387" s="123"/>
      <c r="Y387" s="123">
        <v>6056</v>
      </c>
      <c r="Z387" s="118"/>
      <c r="AA387" s="123"/>
      <c r="AB387" s="118">
        <v>7869</v>
      </c>
      <c r="AC387" s="206">
        <v>30</v>
      </c>
      <c r="AD387" s="206">
        <f t="shared" si="64"/>
        <v>749.5</v>
      </c>
      <c r="AE387" s="206"/>
      <c r="AF387" s="206" t="e">
        <f>#REF!-AE387</f>
        <v>#REF!</v>
      </c>
      <c r="AG387" s="206"/>
      <c r="AH387" s="206" t="e">
        <f>#REF!-AG387</f>
        <v>#REF!</v>
      </c>
      <c r="AI387" s="206"/>
      <c r="AJ387" s="258"/>
      <c r="AK387" s="208" t="e">
        <f t="shared" si="61"/>
        <v>#REF!</v>
      </c>
    </row>
    <row r="388" spans="1:37" ht="13.5" x14ac:dyDescent="0.25">
      <c r="A388" s="257">
        <v>43</v>
      </c>
      <c r="B388" s="122" t="s">
        <v>175</v>
      </c>
      <c r="C388" s="122">
        <v>35</v>
      </c>
      <c r="D388" s="122"/>
      <c r="E388" s="204"/>
      <c r="F388" s="123">
        <v>2163</v>
      </c>
      <c r="G388" s="123">
        <f>100</f>
        <v>100</v>
      </c>
      <c r="H388" s="118">
        <v>652</v>
      </c>
      <c r="I388" s="118">
        <v>408</v>
      </c>
      <c r="J388" s="118">
        <v>1003</v>
      </c>
      <c r="K388" s="123">
        <f t="shared" si="65"/>
        <v>100</v>
      </c>
      <c r="L388" s="124">
        <f t="shared" si="69"/>
        <v>326</v>
      </c>
      <c r="M388" s="124">
        <f t="shared" si="69"/>
        <v>204</v>
      </c>
      <c r="N388" s="124">
        <f t="shared" si="69"/>
        <v>501.5</v>
      </c>
      <c r="O388" s="124">
        <f t="shared" si="66"/>
        <v>1131.5</v>
      </c>
      <c r="P388" s="124">
        <f t="shared" si="67"/>
        <v>326</v>
      </c>
      <c r="Q388" s="124">
        <f t="shared" si="67"/>
        <v>204</v>
      </c>
      <c r="R388" s="124">
        <f t="shared" si="67"/>
        <v>501.5</v>
      </c>
      <c r="S388" s="118">
        <f t="shared" si="68"/>
        <v>1031.5</v>
      </c>
      <c r="T388" s="204" t="e">
        <f>'[1]убор.пл. ф-8 сост. 01.01.11 г.'!O412+'[1]убор.пл. ф-8 сост. 01.01.11 г.'!P412+'[1]убор.пл. ф-8 сост. 01.01.11 г.'!Q412+'[1]убор.пл. ф-8 сост. 01.01.11 г.'!R412+'[1]убор.пл. ф-8 сост. 01.01.11 г.'!U412+'[1]убор.пл. ф-8 сост. 01.01.11 г.'!V412+'[1]убор.пл. ф-8 сост. 01.01.11 г.'!X412+'[1]убор.пл. ф-8 сост. 01.01.11 г.'!Z412+'[1]убор.пл. ф-8 сост. 01.01.11 г.'!AA412+'[1]убор.пл. ф-8 сост. 01.01.11 г.'!AB412</f>
        <v>#REF!</v>
      </c>
      <c r="U388" s="204"/>
      <c r="V388" s="118">
        <v>219</v>
      </c>
      <c r="W388" s="123" t="e">
        <f>'[1]убор.пл. ф-8 сост. 01.01.11 г.'!S412+'[1]убор.пл. ф-8 сост. 01.01.11 г.'!W412+'[1]убор.пл. ф-8 сост. 01.01.11 г.'!AC412+'[1]убор.пл. ф-8 сост. 01.01.11 г.'!AD412</f>
        <v>#REF!</v>
      </c>
      <c r="X388" s="123"/>
      <c r="Y388" s="123">
        <v>4299</v>
      </c>
      <c r="Z388" s="118"/>
      <c r="AA388" s="123"/>
      <c r="AB388" s="118">
        <v>6681</v>
      </c>
      <c r="AC388" s="206"/>
      <c r="AD388" s="206">
        <f t="shared" si="64"/>
        <v>1131.5</v>
      </c>
      <c r="AE388" s="206"/>
      <c r="AF388" s="206" t="e">
        <f>#REF!-AE388</f>
        <v>#REF!</v>
      </c>
      <c r="AG388" s="206"/>
      <c r="AH388" s="206" t="e">
        <f>#REF!-AG388</f>
        <v>#REF!</v>
      </c>
      <c r="AI388" s="206"/>
      <c r="AJ388" s="258"/>
      <c r="AK388" s="208" t="e">
        <f t="shared" si="61"/>
        <v>#REF!</v>
      </c>
    </row>
    <row r="389" spans="1:37" ht="13.5" x14ac:dyDescent="0.25">
      <c r="A389" s="257">
        <v>44</v>
      </c>
      <c r="B389" s="122" t="s">
        <v>175</v>
      </c>
      <c r="C389" s="122">
        <v>37</v>
      </c>
      <c r="D389" s="122"/>
      <c r="E389" s="204"/>
      <c r="F389" s="123">
        <v>1586</v>
      </c>
      <c r="G389" s="123">
        <f>100+88</f>
        <v>188</v>
      </c>
      <c r="H389" s="118">
        <v>466</v>
      </c>
      <c r="I389" s="118">
        <f>1020-88</f>
        <v>932</v>
      </c>
      <c r="J389" s="118"/>
      <c r="K389" s="123">
        <f t="shared" si="65"/>
        <v>188</v>
      </c>
      <c r="L389" s="124">
        <f t="shared" si="69"/>
        <v>233</v>
      </c>
      <c r="M389" s="124">
        <f t="shared" si="69"/>
        <v>466</v>
      </c>
      <c r="N389" s="124">
        <f t="shared" si="69"/>
        <v>0</v>
      </c>
      <c r="O389" s="124">
        <f t="shared" si="66"/>
        <v>887</v>
      </c>
      <c r="P389" s="124">
        <f t="shared" si="67"/>
        <v>233</v>
      </c>
      <c r="Q389" s="124">
        <f t="shared" si="67"/>
        <v>466</v>
      </c>
      <c r="R389" s="124">
        <f t="shared" si="67"/>
        <v>0</v>
      </c>
      <c r="S389" s="118">
        <f t="shared" si="68"/>
        <v>699</v>
      </c>
      <c r="T389" s="204" t="e">
        <f>'[1]убор.пл. ф-8 сост. 01.01.11 г.'!O413+'[1]убор.пл. ф-8 сост. 01.01.11 г.'!P413+'[1]убор.пл. ф-8 сост. 01.01.11 г.'!Q413+'[1]убор.пл. ф-8 сост. 01.01.11 г.'!R413+'[1]убор.пл. ф-8 сост. 01.01.11 г.'!U413+'[1]убор.пл. ф-8 сост. 01.01.11 г.'!V413+'[1]убор.пл. ф-8 сост. 01.01.11 г.'!X413+'[1]убор.пл. ф-8 сост. 01.01.11 г.'!Z413+'[1]убор.пл. ф-8 сост. 01.01.11 г.'!AA413+'[1]убор.пл. ф-8 сост. 01.01.11 г.'!AB413</f>
        <v>#REF!</v>
      </c>
      <c r="U389" s="204"/>
      <c r="V389" s="118">
        <v>114</v>
      </c>
      <c r="W389" s="123" t="e">
        <f>'[1]убор.пл. ф-8 сост. 01.01.11 г.'!S413+'[1]убор.пл. ф-8 сост. 01.01.11 г.'!W413+'[1]убор.пл. ф-8 сост. 01.01.11 г.'!AC413+'[1]убор.пл. ф-8 сост. 01.01.11 г.'!AD413</f>
        <v>#REF!</v>
      </c>
      <c r="X389" s="123"/>
      <c r="Y389" s="123">
        <v>4811</v>
      </c>
      <c r="Z389" s="118"/>
      <c r="AA389" s="123"/>
      <c r="AB389" s="118">
        <v>6511</v>
      </c>
      <c r="AC389" s="206"/>
      <c r="AD389" s="206">
        <f t="shared" si="64"/>
        <v>887</v>
      </c>
      <c r="AE389" s="206"/>
      <c r="AF389" s="206" t="e">
        <f>#REF!-AE389</f>
        <v>#REF!</v>
      </c>
      <c r="AG389" s="206"/>
      <c r="AH389" s="206" t="e">
        <f>#REF!-AG389</f>
        <v>#REF!</v>
      </c>
      <c r="AI389" s="206"/>
      <c r="AJ389" s="258"/>
      <c r="AK389" s="208" t="e">
        <f t="shared" si="61"/>
        <v>#REF!</v>
      </c>
    </row>
    <row r="390" spans="1:37" ht="13.5" x14ac:dyDescent="0.25">
      <c r="A390" s="257">
        <v>45</v>
      </c>
      <c r="B390" s="122" t="s">
        <v>175</v>
      </c>
      <c r="C390" s="122">
        <v>39</v>
      </c>
      <c r="D390" s="122"/>
      <c r="E390" s="204"/>
      <c r="F390" s="123">
        <v>1226</v>
      </c>
      <c r="G390" s="123">
        <f>100+82</f>
        <v>182</v>
      </c>
      <c r="H390" s="118">
        <v>228</v>
      </c>
      <c r="I390" s="118">
        <f>898-82</f>
        <v>816</v>
      </c>
      <c r="J390" s="118"/>
      <c r="K390" s="123">
        <f t="shared" si="65"/>
        <v>182</v>
      </c>
      <c r="L390" s="124">
        <f t="shared" si="69"/>
        <v>114</v>
      </c>
      <c r="M390" s="124">
        <f t="shared" si="69"/>
        <v>408</v>
      </c>
      <c r="N390" s="124">
        <f t="shared" si="69"/>
        <v>0</v>
      </c>
      <c r="O390" s="124">
        <f t="shared" si="66"/>
        <v>704</v>
      </c>
      <c r="P390" s="124">
        <f t="shared" si="67"/>
        <v>114</v>
      </c>
      <c r="Q390" s="124">
        <f t="shared" si="67"/>
        <v>408</v>
      </c>
      <c r="R390" s="124">
        <f t="shared" si="67"/>
        <v>0</v>
      </c>
      <c r="S390" s="118">
        <f t="shared" si="68"/>
        <v>522</v>
      </c>
      <c r="T390" s="204" t="e">
        <f>'[1]убор.пл. ф-8 сост. 01.01.11 г.'!O414+'[1]убор.пл. ф-8 сост. 01.01.11 г.'!P414+'[1]убор.пл. ф-8 сост. 01.01.11 г.'!Q414+'[1]убор.пл. ф-8 сост. 01.01.11 г.'!R414+'[1]убор.пл. ф-8 сост. 01.01.11 г.'!U414+'[1]убор.пл. ф-8 сост. 01.01.11 г.'!V414+'[1]убор.пл. ф-8 сост. 01.01.11 г.'!X414+'[1]убор.пл. ф-8 сост. 01.01.11 г.'!Z414+'[1]убор.пл. ф-8 сост. 01.01.11 г.'!AA414+'[1]убор.пл. ф-8 сост. 01.01.11 г.'!AB414</f>
        <v>#REF!</v>
      </c>
      <c r="U390" s="204"/>
      <c r="V390" s="118">
        <v>191</v>
      </c>
      <c r="W390" s="123" t="e">
        <f>'[1]убор.пл. ф-8 сост. 01.01.11 г.'!S414+'[1]убор.пл. ф-8 сост. 01.01.11 г.'!W414+'[1]убор.пл. ф-8 сост. 01.01.11 г.'!AC414+'[1]убор.пл. ф-8 сост. 01.01.11 г.'!AD414</f>
        <v>#REF!</v>
      </c>
      <c r="X390" s="123"/>
      <c r="Y390" s="123">
        <v>2733</v>
      </c>
      <c r="Z390" s="118"/>
      <c r="AA390" s="123"/>
      <c r="AB390" s="118">
        <v>4150</v>
      </c>
      <c r="AC390" s="206"/>
      <c r="AD390" s="206">
        <f t="shared" si="64"/>
        <v>704</v>
      </c>
      <c r="AE390" s="206"/>
      <c r="AF390" s="206" t="e">
        <f>#REF!-AE390</f>
        <v>#REF!</v>
      </c>
      <c r="AG390" s="206"/>
      <c r="AH390" s="206" t="e">
        <f>#REF!-AG390</f>
        <v>#REF!</v>
      </c>
      <c r="AI390" s="206"/>
      <c r="AJ390" s="258"/>
      <c r="AK390" s="208" t="e">
        <f t="shared" si="61"/>
        <v>#REF!</v>
      </c>
    </row>
    <row r="391" spans="1:37" ht="13.5" x14ac:dyDescent="0.25">
      <c r="A391" s="257">
        <v>46</v>
      </c>
      <c r="B391" s="122" t="s">
        <v>175</v>
      </c>
      <c r="C391" s="122">
        <v>41</v>
      </c>
      <c r="D391" s="122"/>
      <c r="E391" s="204"/>
      <c r="F391" s="123">
        <v>2346</v>
      </c>
      <c r="G391" s="123">
        <f>100+164</f>
        <v>264</v>
      </c>
      <c r="H391" s="118">
        <v>1007</v>
      </c>
      <c r="I391" s="118">
        <f>1239-164</f>
        <v>1075</v>
      </c>
      <c r="J391" s="118"/>
      <c r="K391" s="123">
        <f t="shared" si="65"/>
        <v>264</v>
      </c>
      <c r="L391" s="124">
        <f t="shared" si="69"/>
        <v>503.5</v>
      </c>
      <c r="M391" s="124">
        <f t="shared" si="69"/>
        <v>537.5</v>
      </c>
      <c r="N391" s="124">
        <f t="shared" si="69"/>
        <v>0</v>
      </c>
      <c r="O391" s="124">
        <f t="shared" si="66"/>
        <v>1305</v>
      </c>
      <c r="P391" s="124">
        <f t="shared" si="67"/>
        <v>503.5</v>
      </c>
      <c r="Q391" s="124">
        <f t="shared" si="67"/>
        <v>537.5</v>
      </c>
      <c r="R391" s="124">
        <f t="shared" si="67"/>
        <v>0</v>
      </c>
      <c r="S391" s="118">
        <f t="shared" si="68"/>
        <v>1041</v>
      </c>
      <c r="T391" s="204">
        <v>199</v>
      </c>
      <c r="U391" s="204"/>
      <c r="V391" s="118">
        <v>199</v>
      </c>
      <c r="W391" s="123" t="e">
        <f>'[1]убор.пл. ф-8 сост. 01.01.11 г.'!S415+'[1]убор.пл. ф-8 сост. 01.01.11 г.'!W415+'[1]убор.пл. ф-8 сост. 01.01.11 г.'!AC415+'[1]убор.пл. ф-8 сост. 01.01.11 г.'!AD415</f>
        <v>#REF!</v>
      </c>
      <c r="X391" s="123"/>
      <c r="Y391" s="123">
        <v>4394</v>
      </c>
      <c r="Z391" s="118"/>
      <c r="AA391" s="123"/>
      <c r="AB391" s="118">
        <v>6939</v>
      </c>
      <c r="AC391" s="206">
        <v>100</v>
      </c>
      <c r="AD391" s="206">
        <f t="shared" si="64"/>
        <v>1205</v>
      </c>
      <c r="AE391" s="206"/>
      <c r="AF391" s="206" t="e">
        <f>#REF!-AE391</f>
        <v>#REF!</v>
      </c>
      <c r="AG391" s="206">
        <v>70</v>
      </c>
      <c r="AH391" s="206" t="e">
        <f>#REF!-AG391</f>
        <v>#REF!</v>
      </c>
      <c r="AI391" s="206"/>
      <c r="AJ391" s="258"/>
      <c r="AK391" s="208" t="e">
        <f t="shared" si="61"/>
        <v>#REF!</v>
      </c>
    </row>
    <row r="392" spans="1:37" ht="13.5" x14ac:dyDescent="0.25">
      <c r="A392" s="257">
        <v>47</v>
      </c>
      <c r="B392" s="122" t="s">
        <v>175</v>
      </c>
      <c r="C392" s="122">
        <v>43</v>
      </c>
      <c r="D392" s="122">
        <v>1</v>
      </c>
      <c r="E392" s="204">
        <f>215.5</f>
        <v>215.5</v>
      </c>
      <c r="F392" s="123">
        <f>1604+E392</f>
        <v>1819.5</v>
      </c>
      <c r="G392" s="123">
        <f>100+E392</f>
        <v>315.5</v>
      </c>
      <c r="H392" s="118">
        <v>243</v>
      </c>
      <c r="I392" s="118">
        <v>1261</v>
      </c>
      <c r="J392" s="118"/>
      <c r="K392" s="123">
        <f t="shared" si="65"/>
        <v>315.5</v>
      </c>
      <c r="L392" s="124">
        <f t="shared" si="69"/>
        <v>121.5</v>
      </c>
      <c r="M392" s="124">
        <f t="shared" si="69"/>
        <v>630.5</v>
      </c>
      <c r="N392" s="124">
        <f t="shared" si="69"/>
        <v>0</v>
      </c>
      <c r="O392" s="124">
        <f t="shared" si="66"/>
        <v>1067.5</v>
      </c>
      <c r="P392" s="124">
        <f t="shared" si="67"/>
        <v>121.5</v>
      </c>
      <c r="Q392" s="124">
        <f t="shared" si="67"/>
        <v>630.5</v>
      </c>
      <c r="R392" s="124">
        <f t="shared" si="67"/>
        <v>0</v>
      </c>
      <c r="S392" s="118">
        <f t="shared" si="68"/>
        <v>752</v>
      </c>
      <c r="T392" s="204" t="e">
        <f>'[1]убор.пл. ф-8 сост. 01.01.11 г.'!O416+'[1]убор.пл. ф-8 сост. 01.01.11 г.'!P416+'[1]убор.пл. ф-8 сост. 01.01.11 г.'!Q416+'[1]убор.пл. ф-8 сост. 01.01.11 г.'!R416+'[1]убор.пл. ф-8 сост. 01.01.11 г.'!U416+'[1]убор.пл. ф-8 сост. 01.01.11 г.'!V416+'[1]убор.пл. ф-8 сост. 01.01.11 г.'!X416+'[1]убор.пл. ф-8 сост. 01.01.11 г.'!Z416+'[1]убор.пл. ф-8 сост. 01.01.11 г.'!AA416+'[1]убор.пл. ф-8 сост. 01.01.11 г.'!AB416</f>
        <v>#REF!</v>
      </c>
      <c r="U392" s="204"/>
      <c r="V392" s="118">
        <v>394</v>
      </c>
      <c r="W392" s="123" t="e">
        <f>'[1]убор.пл. ф-8 сост. 01.01.11 г.'!S416+'[1]убор.пл. ф-8 сост. 01.01.11 г.'!W416+'[1]убор.пл. ф-8 сост. 01.01.11 г.'!AC416+'[1]убор.пл. ф-8 сост. 01.01.11 г.'!AD416</f>
        <v>#REF!</v>
      </c>
      <c r="X392" s="123"/>
      <c r="Y392" s="123">
        <f>5679-E392</f>
        <v>5463.5</v>
      </c>
      <c r="Z392" s="118"/>
      <c r="AA392" s="123"/>
      <c r="AB392" s="118">
        <v>7677</v>
      </c>
      <c r="AC392" s="206"/>
      <c r="AD392" s="206">
        <f t="shared" si="64"/>
        <v>1067.5</v>
      </c>
      <c r="AE392" s="206"/>
      <c r="AF392" s="206" t="e">
        <f>#REF!-AE392</f>
        <v>#REF!</v>
      </c>
      <c r="AG392" s="206"/>
      <c r="AH392" s="206" t="e">
        <f>#REF!-AG392</f>
        <v>#REF!</v>
      </c>
      <c r="AI392" s="206"/>
      <c r="AJ392" s="258"/>
      <c r="AK392" s="208" t="e">
        <f t="shared" si="61"/>
        <v>#REF!</v>
      </c>
    </row>
    <row r="393" spans="1:37" ht="13.5" x14ac:dyDescent="0.25">
      <c r="A393" s="257">
        <v>48</v>
      </c>
      <c r="B393" s="122" t="s">
        <v>175</v>
      </c>
      <c r="C393" s="122">
        <v>43</v>
      </c>
      <c r="D393" s="122">
        <v>2</v>
      </c>
      <c r="E393" s="204">
        <f>425</f>
        <v>425</v>
      </c>
      <c r="F393" s="123">
        <f>2333+E393</f>
        <v>2758</v>
      </c>
      <c r="G393" s="123">
        <v>821</v>
      </c>
      <c r="H393" s="118">
        <v>700</v>
      </c>
      <c r="I393" s="118">
        <f>1375-138</f>
        <v>1237</v>
      </c>
      <c r="J393" s="118"/>
      <c r="K393" s="123">
        <f t="shared" si="65"/>
        <v>821</v>
      </c>
      <c r="L393" s="124">
        <f t="shared" si="69"/>
        <v>350</v>
      </c>
      <c r="M393" s="124">
        <f t="shared" si="69"/>
        <v>618.5</v>
      </c>
      <c r="N393" s="124">
        <f t="shared" si="69"/>
        <v>0</v>
      </c>
      <c r="O393" s="124">
        <f t="shared" si="66"/>
        <v>1789.5</v>
      </c>
      <c r="P393" s="124">
        <f t="shared" si="67"/>
        <v>350</v>
      </c>
      <c r="Q393" s="124">
        <f t="shared" si="67"/>
        <v>618.5</v>
      </c>
      <c r="R393" s="124">
        <f t="shared" si="67"/>
        <v>0</v>
      </c>
      <c r="S393" s="118">
        <f t="shared" si="68"/>
        <v>968.5</v>
      </c>
      <c r="T393" s="204" t="e">
        <f>'[1]убор.пл. ф-8 сост. 01.01.11 г.'!O417+'[1]убор.пл. ф-8 сост. 01.01.11 г.'!P417+'[1]убор.пл. ф-8 сост. 01.01.11 г.'!Q417+'[1]убор.пл. ф-8 сост. 01.01.11 г.'!R417+'[1]убор.пл. ф-8 сост. 01.01.11 г.'!U417+'[1]убор.пл. ф-8 сост. 01.01.11 г.'!V417+'[1]убор.пл. ф-8 сост. 01.01.11 г.'!X417+'[1]убор.пл. ф-8 сост. 01.01.11 г.'!Z417+'[1]убор.пл. ф-8 сост. 01.01.11 г.'!AA417+'[1]убор.пл. ф-8 сост. 01.01.11 г.'!AB417</f>
        <v>#REF!</v>
      </c>
      <c r="U393" s="204"/>
      <c r="V393" s="118">
        <v>386</v>
      </c>
      <c r="W393" s="123" t="e">
        <f>'[1]убор.пл. ф-8 сост. 01.01.11 г.'!S417+'[1]убор.пл. ф-8 сост. 01.01.11 г.'!W417+'[1]убор.пл. ф-8 сост. 01.01.11 г.'!AC417+'[1]убор.пл. ф-8 сост. 01.01.11 г.'!AD417</f>
        <v>#REF!</v>
      </c>
      <c r="X393" s="123"/>
      <c r="Y393" s="123">
        <f>7839-E393</f>
        <v>7414</v>
      </c>
      <c r="Z393" s="118">
        <v>595</v>
      </c>
      <c r="AA393" s="123">
        <v>32</v>
      </c>
      <c r="AB393" s="118">
        <v>11153</v>
      </c>
      <c r="AC393" s="206">
        <v>20</v>
      </c>
      <c r="AD393" s="206">
        <f t="shared" si="64"/>
        <v>1769.5</v>
      </c>
      <c r="AE393" s="206"/>
      <c r="AF393" s="206" t="e">
        <f>#REF!-AE393</f>
        <v>#REF!</v>
      </c>
      <c r="AG393" s="206">
        <v>100</v>
      </c>
      <c r="AH393" s="206" t="e">
        <f>#REF!-AG393</f>
        <v>#REF!</v>
      </c>
      <c r="AI393" s="206">
        <v>32</v>
      </c>
      <c r="AJ393" s="258"/>
      <c r="AK393" s="208" t="e">
        <f t="shared" si="61"/>
        <v>#REF!</v>
      </c>
    </row>
    <row r="394" spans="1:37" ht="13.5" x14ac:dyDescent="0.25">
      <c r="A394" s="257">
        <v>49</v>
      </c>
      <c r="B394" s="122" t="s">
        <v>175</v>
      </c>
      <c r="C394" s="122">
        <v>43</v>
      </c>
      <c r="D394" s="122">
        <v>3</v>
      </c>
      <c r="E394" s="204">
        <v>75</v>
      </c>
      <c r="F394" s="123">
        <f>1505+E394</f>
        <v>1580</v>
      </c>
      <c r="G394" s="123">
        <v>336</v>
      </c>
      <c r="H394" s="118">
        <v>229</v>
      </c>
      <c r="I394" s="118">
        <v>1015</v>
      </c>
      <c r="J394" s="118"/>
      <c r="K394" s="123">
        <f t="shared" si="65"/>
        <v>336</v>
      </c>
      <c r="L394" s="124">
        <f t="shared" si="69"/>
        <v>114.5</v>
      </c>
      <c r="M394" s="124">
        <f t="shared" si="69"/>
        <v>507.5</v>
      </c>
      <c r="N394" s="124">
        <f t="shared" si="69"/>
        <v>0</v>
      </c>
      <c r="O394" s="124">
        <f t="shared" si="66"/>
        <v>958</v>
      </c>
      <c r="P394" s="124">
        <f t="shared" si="67"/>
        <v>114.5</v>
      </c>
      <c r="Q394" s="124">
        <f t="shared" si="67"/>
        <v>507.5</v>
      </c>
      <c r="R394" s="124">
        <f t="shared" si="67"/>
        <v>0</v>
      </c>
      <c r="S394" s="118">
        <f t="shared" si="68"/>
        <v>622</v>
      </c>
      <c r="T394" s="204"/>
      <c r="U394" s="204"/>
      <c r="V394" s="118"/>
      <c r="W394" s="123" t="e">
        <f>'[1]убор.пл. ф-8 сост. 01.01.11 г.'!S418+'[1]убор.пл. ф-8 сост. 01.01.11 г.'!W418+'[1]убор.пл. ф-8 сост. 01.01.11 г.'!AC418+'[1]убор.пл. ф-8 сост. 01.01.11 г.'!AD418</f>
        <v>#REF!</v>
      </c>
      <c r="X394" s="123"/>
      <c r="Y394" s="123">
        <f>7433-E394</f>
        <v>7358</v>
      </c>
      <c r="Z394" s="118"/>
      <c r="AA394" s="123"/>
      <c r="AB394" s="118">
        <v>8938</v>
      </c>
      <c r="AC394" s="206"/>
      <c r="AD394" s="206">
        <f t="shared" si="64"/>
        <v>958</v>
      </c>
      <c r="AE394" s="206"/>
      <c r="AF394" s="206" t="e">
        <f>#REF!-AE394</f>
        <v>#REF!</v>
      </c>
      <c r="AG394" s="206">
        <v>50</v>
      </c>
      <c r="AH394" s="206" t="e">
        <f>#REF!-AG394</f>
        <v>#REF!</v>
      </c>
      <c r="AI394" s="206"/>
      <c r="AJ394" s="258"/>
      <c r="AK394" s="208" t="e">
        <f t="shared" si="61"/>
        <v>#REF!</v>
      </c>
    </row>
    <row r="395" spans="1:37" ht="14.25" thickBot="1" x14ac:dyDescent="0.3">
      <c r="A395" s="257">
        <v>50</v>
      </c>
      <c r="B395" s="122" t="s">
        <v>175</v>
      </c>
      <c r="C395" s="122">
        <v>45</v>
      </c>
      <c r="D395" s="122"/>
      <c r="E395" s="209"/>
      <c r="F395" s="131">
        <v>3296</v>
      </c>
      <c r="G395" s="131">
        <f>98+190</f>
        <v>288</v>
      </c>
      <c r="H395" s="98">
        <f>1572-782+782</f>
        <v>1572</v>
      </c>
      <c r="I395" s="98">
        <f>1626-190</f>
        <v>1436</v>
      </c>
      <c r="J395" s="98"/>
      <c r="K395" s="131">
        <f t="shared" si="65"/>
        <v>288</v>
      </c>
      <c r="L395" s="100">
        <f t="shared" si="69"/>
        <v>786</v>
      </c>
      <c r="M395" s="100">
        <f t="shared" si="69"/>
        <v>718</v>
      </c>
      <c r="N395" s="100">
        <f t="shared" si="69"/>
        <v>0</v>
      </c>
      <c r="O395" s="100">
        <f t="shared" si="66"/>
        <v>1792</v>
      </c>
      <c r="P395" s="100">
        <f t="shared" si="67"/>
        <v>786</v>
      </c>
      <c r="Q395" s="100">
        <f t="shared" si="67"/>
        <v>718</v>
      </c>
      <c r="R395" s="100">
        <f t="shared" si="67"/>
        <v>0</v>
      </c>
      <c r="S395" s="98">
        <f t="shared" si="68"/>
        <v>1504</v>
      </c>
      <c r="T395" s="209">
        <v>53</v>
      </c>
      <c r="U395" s="209"/>
      <c r="V395" s="98">
        <v>53</v>
      </c>
      <c r="W395" s="131" t="e">
        <f>'[1]убор.пл. ф-8 сост. 01.01.11 г.'!S419+'[1]убор.пл. ф-8 сост. 01.01.11 г.'!W419+'[1]убор.пл. ф-8 сост. 01.01.11 г.'!AC419+'[1]убор.пл. ф-8 сост. 01.01.11 г.'!AD419</f>
        <v>#REF!</v>
      </c>
      <c r="X395" s="131"/>
      <c r="Y395" s="131">
        <v>7021</v>
      </c>
      <c r="Z395" s="98"/>
      <c r="AA395" s="131">
        <v>32</v>
      </c>
      <c r="AB395" s="98">
        <v>10370</v>
      </c>
      <c r="AC395" s="206">
        <v>140</v>
      </c>
      <c r="AD395" s="206">
        <f t="shared" si="64"/>
        <v>1652</v>
      </c>
      <c r="AE395" s="206"/>
      <c r="AF395" s="206" t="e">
        <f>#REF!-AE395</f>
        <v>#REF!</v>
      </c>
      <c r="AG395" s="206">
        <v>100</v>
      </c>
      <c r="AH395" s="206" t="e">
        <f>#REF!-AG395</f>
        <v>#REF!</v>
      </c>
      <c r="AI395" s="206">
        <v>32</v>
      </c>
      <c r="AJ395" s="258"/>
      <c r="AK395" s="208" t="e">
        <f t="shared" si="61"/>
        <v>#REF!</v>
      </c>
    </row>
    <row r="396" spans="1:37" s="219" customFormat="1" ht="14.25" thickBot="1" x14ac:dyDescent="0.3">
      <c r="A396" s="243"/>
      <c r="B396" s="203" t="s">
        <v>176</v>
      </c>
      <c r="C396" s="203"/>
      <c r="D396" s="203"/>
      <c r="E396" s="212">
        <f>SUM(E346:E395)</f>
        <v>6965.34</v>
      </c>
      <c r="F396" s="213">
        <f t="shared" ref="F396:AK396" si="70">SUM(F346:F395)</f>
        <v>119409.34000000001</v>
      </c>
      <c r="G396" s="212">
        <f t="shared" si="70"/>
        <v>21487.34</v>
      </c>
      <c r="H396" s="260">
        <f t="shared" si="70"/>
        <v>25852</v>
      </c>
      <c r="I396" s="260">
        <f t="shared" si="70"/>
        <v>41186</v>
      </c>
      <c r="J396" s="260">
        <f t="shared" si="70"/>
        <v>30884</v>
      </c>
      <c r="K396" s="212">
        <f t="shared" si="70"/>
        <v>21487.34</v>
      </c>
      <c r="L396" s="260">
        <f t="shared" si="70"/>
        <v>12926</v>
      </c>
      <c r="M396" s="260">
        <f t="shared" si="70"/>
        <v>20593</v>
      </c>
      <c r="N396" s="260">
        <f t="shared" si="70"/>
        <v>15442</v>
      </c>
      <c r="O396" s="261">
        <f t="shared" si="70"/>
        <v>70448.340000000011</v>
      </c>
      <c r="P396" s="260">
        <f t="shared" si="70"/>
        <v>12926</v>
      </c>
      <c r="Q396" s="260">
        <f t="shared" si="70"/>
        <v>20593</v>
      </c>
      <c r="R396" s="261">
        <f t="shared" si="70"/>
        <v>15442</v>
      </c>
      <c r="S396" s="260">
        <f t="shared" si="70"/>
        <v>48961</v>
      </c>
      <c r="T396" s="212" t="e">
        <f t="shared" si="70"/>
        <v>#REF!</v>
      </c>
      <c r="U396" s="212">
        <f t="shared" si="70"/>
        <v>0</v>
      </c>
      <c r="V396" s="260">
        <f t="shared" si="70"/>
        <v>14863</v>
      </c>
      <c r="W396" s="212" t="e">
        <f t="shared" si="70"/>
        <v>#REF!</v>
      </c>
      <c r="X396" s="212">
        <f t="shared" si="70"/>
        <v>0</v>
      </c>
      <c r="Y396" s="212">
        <f t="shared" si="70"/>
        <v>259200.66000000003</v>
      </c>
      <c r="Z396" s="260">
        <f t="shared" si="70"/>
        <v>853</v>
      </c>
      <c r="AA396" s="212">
        <f t="shared" si="70"/>
        <v>482</v>
      </c>
      <c r="AB396" s="260">
        <f t="shared" si="70"/>
        <v>394326</v>
      </c>
      <c r="AC396" s="260">
        <f t="shared" si="70"/>
        <v>1130</v>
      </c>
      <c r="AD396" s="260">
        <f t="shared" si="70"/>
        <v>69318.340000000011</v>
      </c>
      <c r="AE396" s="260">
        <f t="shared" si="70"/>
        <v>0</v>
      </c>
      <c r="AF396" s="260" t="e">
        <f t="shared" si="70"/>
        <v>#REF!</v>
      </c>
      <c r="AG396" s="260">
        <f t="shared" si="70"/>
        <v>1960</v>
      </c>
      <c r="AH396" s="260" t="e">
        <f t="shared" si="70"/>
        <v>#REF!</v>
      </c>
      <c r="AI396" s="260">
        <f t="shared" si="70"/>
        <v>482</v>
      </c>
      <c r="AJ396" s="260">
        <f t="shared" si="70"/>
        <v>0</v>
      </c>
      <c r="AK396" s="260" t="e">
        <f t="shared" si="70"/>
        <v>#REF!</v>
      </c>
    </row>
    <row r="397" spans="1:37" s="219" customFormat="1" ht="13.5" x14ac:dyDescent="0.25">
      <c r="A397" s="262"/>
      <c r="B397" s="690" t="s">
        <v>130</v>
      </c>
      <c r="C397" s="690"/>
      <c r="D397" s="690"/>
      <c r="E397" s="263"/>
      <c r="F397" s="172"/>
      <c r="G397" s="263"/>
      <c r="H397" s="264"/>
      <c r="I397" s="264"/>
      <c r="J397" s="264"/>
      <c r="K397" s="263"/>
      <c r="L397" s="265"/>
      <c r="M397" s="265"/>
      <c r="N397" s="265"/>
      <c r="O397" s="265"/>
      <c r="P397" s="265"/>
      <c r="Q397" s="265"/>
      <c r="R397" s="265"/>
      <c r="S397" s="264"/>
      <c r="T397" s="263"/>
      <c r="U397" s="263"/>
      <c r="V397" s="264"/>
      <c r="W397" s="263"/>
      <c r="X397" s="263"/>
      <c r="Y397" s="263"/>
      <c r="Z397" s="264"/>
      <c r="AA397" s="263"/>
      <c r="AB397" s="266"/>
      <c r="AC397" s="224"/>
      <c r="AD397" s="224"/>
      <c r="AE397" s="224"/>
      <c r="AF397" s="224"/>
      <c r="AG397" s="224"/>
      <c r="AH397" s="224"/>
      <c r="AI397" s="224"/>
      <c r="AJ397" s="224"/>
      <c r="AK397" s="208"/>
    </row>
    <row r="398" spans="1:37" ht="13.5" x14ac:dyDescent="0.25">
      <c r="A398" s="257"/>
      <c r="B398" s="122" t="s">
        <v>174</v>
      </c>
      <c r="C398" s="122">
        <v>9</v>
      </c>
      <c r="D398" s="122"/>
      <c r="E398" s="204"/>
      <c r="F398" s="118">
        <v>162</v>
      </c>
      <c r="G398" s="206">
        <v>0</v>
      </c>
      <c r="H398" s="206">
        <v>0</v>
      </c>
      <c r="I398" s="206">
        <v>162</v>
      </c>
      <c r="J398" s="206">
        <v>0</v>
      </c>
      <c r="K398" s="98">
        <f>G398</f>
        <v>0</v>
      </c>
      <c r="L398" s="98">
        <f t="shared" ref="L398:N399" si="71">H398/2</f>
        <v>0</v>
      </c>
      <c r="M398" s="98">
        <f t="shared" si="71"/>
        <v>81</v>
      </c>
      <c r="N398" s="98">
        <f t="shared" si="71"/>
        <v>0</v>
      </c>
      <c r="O398" s="98">
        <f>SUM(K398:N398)</f>
        <v>81</v>
      </c>
      <c r="P398" s="118">
        <f t="shared" ref="P398:R399" si="72">H398/2</f>
        <v>0</v>
      </c>
      <c r="Q398" s="124">
        <f t="shared" si="72"/>
        <v>81</v>
      </c>
      <c r="R398" s="124">
        <f t="shared" si="72"/>
        <v>0</v>
      </c>
      <c r="S398" s="118">
        <f>SUM(P398:R398)</f>
        <v>81</v>
      </c>
      <c r="T398" s="206"/>
      <c r="U398" s="206"/>
      <c r="V398" s="206">
        <v>0</v>
      </c>
      <c r="W398" s="206"/>
      <c r="X398" s="206"/>
      <c r="Y398" s="206">
        <v>0</v>
      </c>
      <c r="Z398" s="206">
        <v>0</v>
      </c>
      <c r="AA398" s="206">
        <v>0</v>
      </c>
      <c r="AB398" s="206">
        <f>F398+V398+Y398+Z398</f>
        <v>162</v>
      </c>
      <c r="AC398" s="80"/>
      <c r="AD398" s="80"/>
      <c r="AE398" s="80"/>
      <c r="AF398" s="80"/>
      <c r="AG398" s="80"/>
      <c r="AH398" s="80"/>
      <c r="AI398" s="80"/>
      <c r="AJ398" s="80"/>
      <c r="AK398" s="80"/>
    </row>
    <row r="399" spans="1:37" ht="14.25" thickBot="1" x14ac:dyDescent="0.3">
      <c r="A399" s="267"/>
      <c r="B399" s="130" t="s">
        <v>174</v>
      </c>
      <c r="C399" s="130">
        <v>7</v>
      </c>
      <c r="D399" s="130">
        <v>1</v>
      </c>
      <c r="E399" s="209"/>
      <c r="F399" s="98">
        <v>738</v>
      </c>
      <c r="G399" s="94">
        <v>0</v>
      </c>
      <c r="H399" s="94">
        <v>174</v>
      </c>
      <c r="I399" s="94">
        <v>0</v>
      </c>
      <c r="J399" s="94">
        <v>564</v>
      </c>
      <c r="K399" s="98">
        <f>G399</f>
        <v>0</v>
      </c>
      <c r="L399" s="98">
        <f t="shared" si="71"/>
        <v>87</v>
      </c>
      <c r="M399" s="98">
        <f t="shared" si="71"/>
        <v>0</v>
      </c>
      <c r="N399" s="98">
        <f t="shared" si="71"/>
        <v>282</v>
      </c>
      <c r="O399" s="98">
        <f>SUM(K399:N399)</f>
        <v>369</v>
      </c>
      <c r="P399" s="98">
        <f t="shared" si="72"/>
        <v>87</v>
      </c>
      <c r="Q399" s="100">
        <f t="shared" si="72"/>
        <v>0</v>
      </c>
      <c r="R399" s="100">
        <f t="shared" si="72"/>
        <v>282</v>
      </c>
      <c r="S399" s="98">
        <f>SUM(P399:R399)</f>
        <v>369</v>
      </c>
      <c r="T399" s="94"/>
      <c r="U399" s="94"/>
      <c r="V399" s="94">
        <v>0</v>
      </c>
      <c r="W399" s="94"/>
      <c r="X399" s="94"/>
      <c r="Y399" s="94">
        <v>0</v>
      </c>
      <c r="Z399" s="94">
        <v>0</v>
      </c>
      <c r="AA399" s="94">
        <v>0</v>
      </c>
      <c r="AB399" s="206">
        <f>F399+V399+Y399+Z399</f>
        <v>738</v>
      </c>
      <c r="AC399" s="80"/>
      <c r="AD399" s="80"/>
      <c r="AE399" s="80"/>
      <c r="AF399" s="80"/>
      <c r="AG399" s="80"/>
      <c r="AH399" s="80"/>
      <c r="AI399" s="80"/>
      <c r="AJ399" s="80"/>
      <c r="AK399" s="80"/>
    </row>
    <row r="400" spans="1:37" s="147" customFormat="1" ht="14.25" thickBot="1" x14ac:dyDescent="0.3">
      <c r="A400" s="135"/>
      <c r="B400" s="675" t="s">
        <v>132</v>
      </c>
      <c r="C400" s="676"/>
      <c r="D400" s="677"/>
      <c r="E400" s="139"/>
      <c r="F400" s="140">
        <f>F398+F399</f>
        <v>900</v>
      </c>
      <c r="G400" s="140">
        <f t="shared" ref="G400:AB400" si="73">G398+G399</f>
        <v>0</v>
      </c>
      <c r="H400" s="140">
        <f t="shared" si="73"/>
        <v>174</v>
      </c>
      <c r="I400" s="140">
        <f t="shared" si="73"/>
        <v>162</v>
      </c>
      <c r="J400" s="140">
        <f t="shared" si="73"/>
        <v>564</v>
      </c>
      <c r="K400" s="140">
        <f t="shared" si="73"/>
        <v>0</v>
      </c>
      <c r="L400" s="140">
        <f t="shared" si="73"/>
        <v>87</v>
      </c>
      <c r="M400" s="140">
        <f t="shared" si="73"/>
        <v>81</v>
      </c>
      <c r="N400" s="140">
        <f t="shared" si="73"/>
        <v>282</v>
      </c>
      <c r="O400" s="140">
        <f t="shared" si="73"/>
        <v>450</v>
      </c>
      <c r="P400" s="140">
        <f t="shared" si="73"/>
        <v>87</v>
      </c>
      <c r="Q400" s="141">
        <f t="shared" si="73"/>
        <v>81</v>
      </c>
      <c r="R400" s="141">
        <f t="shared" si="73"/>
        <v>282</v>
      </c>
      <c r="S400" s="140">
        <f t="shared" si="73"/>
        <v>450</v>
      </c>
      <c r="T400" s="140">
        <f t="shared" si="73"/>
        <v>0</v>
      </c>
      <c r="U400" s="140">
        <f t="shared" si="73"/>
        <v>0</v>
      </c>
      <c r="V400" s="140">
        <f t="shared" si="73"/>
        <v>0</v>
      </c>
      <c r="W400" s="140">
        <f t="shared" si="73"/>
        <v>0</v>
      </c>
      <c r="X400" s="140">
        <f t="shared" si="73"/>
        <v>0</v>
      </c>
      <c r="Y400" s="140">
        <f t="shared" si="73"/>
        <v>0</v>
      </c>
      <c r="Z400" s="140">
        <f t="shared" si="73"/>
        <v>0</v>
      </c>
      <c r="AA400" s="140">
        <f t="shared" si="73"/>
        <v>0</v>
      </c>
      <c r="AB400" s="140">
        <f t="shared" si="73"/>
        <v>900</v>
      </c>
      <c r="AC400" s="143"/>
      <c r="AD400" s="144"/>
      <c r="AE400" s="144"/>
      <c r="AF400" s="144"/>
      <c r="AG400" s="144"/>
      <c r="AH400" s="144"/>
      <c r="AI400" s="145"/>
      <c r="AJ400" s="145"/>
      <c r="AK400" s="120"/>
    </row>
    <row r="401" spans="1:83" s="219" customFormat="1" ht="14.25" thickBot="1" x14ac:dyDescent="0.3">
      <c r="A401" s="678" t="s">
        <v>124</v>
      </c>
      <c r="B401" s="678"/>
      <c r="C401" s="678"/>
      <c r="D401" s="678"/>
      <c r="E401" s="229"/>
      <c r="F401" s="194">
        <f>G401+H401+I401+J401</f>
        <v>3907</v>
      </c>
      <c r="G401" s="144">
        <v>2777</v>
      </c>
      <c r="H401" s="144"/>
      <c r="I401" s="144">
        <v>920</v>
      </c>
      <c r="J401" s="144">
        <v>210</v>
      </c>
      <c r="K401" s="216">
        <v>2777</v>
      </c>
      <c r="L401" s="230"/>
      <c r="M401" s="216">
        <f>I401/2</f>
        <v>460</v>
      </c>
      <c r="N401" s="216">
        <f>J401/2</f>
        <v>105</v>
      </c>
      <c r="O401" s="216">
        <f>SUM(G401:J401)</f>
        <v>3907</v>
      </c>
      <c r="P401" s="195"/>
      <c r="Q401" s="195">
        <f>I401/2</f>
        <v>460</v>
      </c>
      <c r="R401" s="195">
        <f>J401/2</f>
        <v>105</v>
      </c>
      <c r="S401" s="144">
        <f>P401+Q401+R401</f>
        <v>565</v>
      </c>
      <c r="T401" s="229"/>
      <c r="U401" s="229"/>
      <c r="V401" s="144">
        <v>449</v>
      </c>
      <c r="W401" s="194"/>
      <c r="X401" s="194"/>
      <c r="Y401" s="144">
        <v>1960</v>
      </c>
      <c r="Z401" s="144">
        <v>853</v>
      </c>
      <c r="AA401" s="194"/>
      <c r="AB401" s="144">
        <f>F401+V401+Y401+Z401</f>
        <v>7169</v>
      </c>
      <c r="AC401" s="224"/>
      <c r="AD401" s="224"/>
      <c r="AE401" s="224"/>
      <c r="AF401" s="224"/>
      <c r="AG401" s="224"/>
      <c r="AH401" s="224"/>
      <c r="AI401" s="224"/>
      <c r="AJ401" s="268"/>
    </row>
    <row r="402" spans="1:83" s="219" customFormat="1" ht="14.25" thickBot="1" x14ac:dyDescent="0.3">
      <c r="A402" s="679" t="s">
        <v>156</v>
      </c>
      <c r="B402" s="680"/>
      <c r="C402" s="680"/>
      <c r="D402" s="680"/>
      <c r="E402" s="220">
        <f>E396+E400-E401</f>
        <v>6965.34</v>
      </c>
      <c r="F402" s="220">
        <f t="shared" ref="F402:AB402" si="74">F396+F400-F401</f>
        <v>116402.34000000001</v>
      </c>
      <c r="G402" s="220">
        <f t="shared" si="74"/>
        <v>18710.34</v>
      </c>
      <c r="H402" s="221">
        <f t="shared" si="74"/>
        <v>26026</v>
      </c>
      <c r="I402" s="221">
        <f t="shared" si="74"/>
        <v>40428</v>
      </c>
      <c r="J402" s="221">
        <f t="shared" si="74"/>
        <v>31238</v>
      </c>
      <c r="K402" s="220">
        <f t="shared" si="74"/>
        <v>18710.34</v>
      </c>
      <c r="L402" s="221">
        <f t="shared" si="74"/>
        <v>13013</v>
      </c>
      <c r="M402" s="221">
        <f t="shared" si="74"/>
        <v>20214</v>
      </c>
      <c r="N402" s="221">
        <f t="shared" si="74"/>
        <v>15619</v>
      </c>
      <c r="O402" s="220">
        <f t="shared" si="74"/>
        <v>66991.340000000011</v>
      </c>
      <c r="P402" s="221">
        <f t="shared" si="74"/>
        <v>13013</v>
      </c>
      <c r="Q402" s="221">
        <f t="shared" si="74"/>
        <v>20214</v>
      </c>
      <c r="R402" s="222">
        <f t="shared" si="74"/>
        <v>15619</v>
      </c>
      <c r="S402" s="221">
        <f t="shared" si="74"/>
        <v>48846</v>
      </c>
      <c r="T402" s="221" t="e">
        <f t="shared" si="74"/>
        <v>#REF!</v>
      </c>
      <c r="U402" s="221">
        <f t="shared" si="74"/>
        <v>0</v>
      </c>
      <c r="V402" s="221">
        <f t="shared" si="74"/>
        <v>14414</v>
      </c>
      <c r="W402" s="220" t="e">
        <f t="shared" si="74"/>
        <v>#REF!</v>
      </c>
      <c r="X402" s="220">
        <f t="shared" si="74"/>
        <v>0</v>
      </c>
      <c r="Y402" s="220">
        <f t="shared" si="74"/>
        <v>257240.66000000003</v>
      </c>
      <c r="Z402" s="221">
        <f t="shared" si="74"/>
        <v>0</v>
      </c>
      <c r="AA402" s="221">
        <f t="shared" si="74"/>
        <v>482</v>
      </c>
      <c r="AB402" s="221">
        <f t="shared" si="74"/>
        <v>388057</v>
      </c>
      <c r="AC402" s="224"/>
      <c r="AD402" s="224"/>
      <c r="AE402" s="224"/>
      <c r="AF402" s="224"/>
      <c r="AG402" s="224"/>
      <c r="AH402" s="224"/>
      <c r="AI402" s="224"/>
      <c r="AJ402" s="224"/>
      <c r="AK402" s="208"/>
    </row>
    <row r="403" spans="1:83" s="219" customFormat="1" ht="13.5" x14ac:dyDescent="0.25">
      <c r="A403" s="247"/>
      <c r="B403" s="157"/>
      <c r="C403" s="157"/>
      <c r="D403" s="157"/>
      <c r="E403" s="85"/>
      <c r="F403" s="59"/>
      <c r="G403" s="59"/>
      <c r="H403" s="86"/>
      <c r="I403" s="86"/>
      <c r="J403" s="86"/>
      <c r="K403" s="85"/>
      <c r="L403" s="87"/>
      <c r="M403" s="87"/>
      <c r="N403" s="87"/>
      <c r="O403" s="87"/>
      <c r="P403" s="88"/>
      <c r="Q403" s="88"/>
      <c r="R403" s="88"/>
      <c r="S403" s="86"/>
      <c r="T403" s="85"/>
      <c r="U403" s="85"/>
      <c r="V403" s="86"/>
      <c r="W403" s="59"/>
      <c r="X403" s="59"/>
      <c r="Y403" s="59"/>
      <c r="Z403" s="86"/>
      <c r="AA403" s="59"/>
      <c r="AB403" s="86"/>
      <c r="AC403" s="224"/>
      <c r="AD403" s="224"/>
      <c r="AE403" s="224"/>
      <c r="AF403" s="224"/>
      <c r="AG403" s="224"/>
      <c r="AH403" s="224"/>
      <c r="AI403" s="224"/>
    </row>
    <row r="404" spans="1:83" s="219" customFormat="1" ht="13.5" x14ac:dyDescent="0.25">
      <c r="A404" s="681" t="s">
        <v>177</v>
      </c>
      <c r="B404" s="681"/>
      <c r="C404" s="681"/>
      <c r="D404" s="681"/>
      <c r="E404" s="269">
        <f>E94+E191+E199+E286+E292+E341+E396+E400</f>
        <v>55842.460000000006</v>
      </c>
      <c r="F404" s="270">
        <f t="shared" ref="F404:AB404" si="75">F94+F191+F199+F286+F292+F341+F396+F400</f>
        <v>650240.46</v>
      </c>
      <c r="G404" s="270">
        <f t="shared" si="75"/>
        <v>160179.46</v>
      </c>
      <c r="H404" s="270">
        <f t="shared" si="75"/>
        <v>91844</v>
      </c>
      <c r="I404" s="270">
        <f t="shared" si="75"/>
        <v>221927</v>
      </c>
      <c r="J404" s="270">
        <f t="shared" si="75"/>
        <v>176290</v>
      </c>
      <c r="K404" s="270">
        <f t="shared" si="75"/>
        <v>160179.46</v>
      </c>
      <c r="L404" s="270">
        <f t="shared" si="75"/>
        <v>45922.5</v>
      </c>
      <c r="M404" s="270">
        <f t="shared" si="75"/>
        <v>110964</v>
      </c>
      <c r="N404" s="270">
        <f t="shared" si="75"/>
        <v>88145</v>
      </c>
      <c r="O404" s="270">
        <f t="shared" si="75"/>
        <v>405210.96</v>
      </c>
      <c r="P404" s="270">
        <f t="shared" si="75"/>
        <v>45922.5</v>
      </c>
      <c r="Q404" s="270">
        <f t="shared" si="75"/>
        <v>110964</v>
      </c>
      <c r="R404" s="270">
        <f t="shared" si="75"/>
        <v>88145</v>
      </c>
      <c r="S404" s="270">
        <f t="shared" si="75"/>
        <v>245031.5</v>
      </c>
      <c r="T404" s="270" t="e">
        <f t="shared" si="75"/>
        <v>#REF!</v>
      </c>
      <c r="U404" s="270">
        <f t="shared" si="75"/>
        <v>1238</v>
      </c>
      <c r="V404" s="270">
        <f t="shared" si="75"/>
        <v>85531</v>
      </c>
      <c r="W404" s="270" t="e">
        <f t="shared" si="75"/>
        <v>#REF!</v>
      </c>
      <c r="X404" s="270">
        <f t="shared" si="75"/>
        <v>10277</v>
      </c>
      <c r="Y404" s="270">
        <f t="shared" si="75"/>
        <v>1699436.54</v>
      </c>
      <c r="Z404" s="270">
        <f t="shared" si="75"/>
        <v>41968</v>
      </c>
      <c r="AA404" s="270">
        <f t="shared" si="75"/>
        <v>2450.5</v>
      </c>
      <c r="AB404" s="270">
        <f t="shared" si="75"/>
        <v>2477176</v>
      </c>
      <c r="AC404" s="144">
        <f t="shared" ref="AC404:AK404" si="76">AC59+AC89+AC184+AC190+AC286+AC341+AC396</f>
        <v>2468</v>
      </c>
      <c r="AD404" s="144" t="e">
        <f t="shared" si="76"/>
        <v>#REF!</v>
      </c>
      <c r="AE404" s="144">
        <f t="shared" si="76"/>
        <v>546</v>
      </c>
      <c r="AF404" s="144" t="e">
        <f t="shared" si="76"/>
        <v>#REF!</v>
      </c>
      <c r="AG404" s="144">
        <f t="shared" si="76"/>
        <v>8849</v>
      </c>
      <c r="AH404" s="144" t="e">
        <f t="shared" si="76"/>
        <v>#REF!</v>
      </c>
      <c r="AI404" s="144">
        <f t="shared" si="76"/>
        <v>2243</v>
      </c>
      <c r="AJ404" s="144">
        <f t="shared" si="76"/>
        <v>0</v>
      </c>
      <c r="AK404" s="144" t="e">
        <f t="shared" si="76"/>
        <v>#REF!</v>
      </c>
      <c r="AM404" s="219">
        <f>AB92+AB199+AB292+AB400</f>
        <v>127686</v>
      </c>
      <c r="AN404" s="219" t="s">
        <v>178</v>
      </c>
    </row>
    <row r="405" spans="1:83" s="219" customFormat="1" ht="14.25" thickBot="1" x14ac:dyDescent="0.3">
      <c r="A405" s="224"/>
      <c r="B405" s="176"/>
      <c r="C405" s="176"/>
      <c r="D405" s="176"/>
      <c r="E405" s="85"/>
      <c r="F405" s="59"/>
      <c r="G405" s="59"/>
      <c r="H405" s="86"/>
      <c r="I405" s="86"/>
      <c r="J405" s="86"/>
      <c r="K405" s="85"/>
      <c r="L405" s="87"/>
      <c r="M405" s="87"/>
      <c r="N405" s="87"/>
      <c r="O405" s="87"/>
      <c r="P405" s="88"/>
      <c r="Q405" s="88"/>
      <c r="R405" s="88"/>
      <c r="S405" s="86"/>
      <c r="T405" s="85"/>
      <c r="U405" s="85"/>
      <c r="V405" s="86"/>
      <c r="W405" s="59"/>
      <c r="X405" s="59"/>
      <c r="Y405" s="59"/>
      <c r="Z405" s="86"/>
      <c r="AA405" s="59"/>
      <c r="AB405" s="86"/>
      <c r="AC405" s="224"/>
      <c r="AD405" s="224"/>
      <c r="AE405" s="224"/>
      <c r="AF405" s="224"/>
      <c r="AG405" s="224"/>
      <c r="AH405" s="224"/>
      <c r="AI405" s="224"/>
      <c r="AJ405" s="268"/>
      <c r="AM405" s="682">
        <f>'[2]ф. 8 2011'!J417</f>
        <v>2352498</v>
      </c>
      <c r="AN405" s="683"/>
      <c r="AO405" s="219" t="s">
        <v>179</v>
      </c>
    </row>
    <row r="406" spans="1:83" s="219" customFormat="1" ht="13.5" x14ac:dyDescent="0.25">
      <c r="A406" s="678" t="s">
        <v>124</v>
      </c>
      <c r="B406" s="678"/>
      <c r="C406" s="678"/>
      <c r="D406" s="678"/>
      <c r="E406" s="144">
        <f>E95+E200+E293+E343+E401</f>
        <v>0</v>
      </c>
      <c r="F406" s="144">
        <f t="shared" ref="F406:AB406" si="77">F95+F200+F293+F343+F401</f>
        <v>7417</v>
      </c>
      <c r="G406" s="144">
        <f t="shared" si="77"/>
        <v>5830</v>
      </c>
      <c r="H406" s="144">
        <f t="shared" si="77"/>
        <v>83</v>
      </c>
      <c r="I406" s="144">
        <f t="shared" si="77"/>
        <v>1294</v>
      </c>
      <c r="J406" s="144">
        <f t="shared" si="77"/>
        <v>210</v>
      </c>
      <c r="K406" s="144">
        <f t="shared" si="77"/>
        <v>5830</v>
      </c>
      <c r="L406" s="144">
        <f t="shared" si="77"/>
        <v>41.5</v>
      </c>
      <c r="M406" s="144">
        <f t="shared" si="77"/>
        <v>647</v>
      </c>
      <c r="N406" s="144">
        <f t="shared" si="77"/>
        <v>105</v>
      </c>
      <c r="O406" s="144">
        <f t="shared" si="77"/>
        <v>7188.5</v>
      </c>
      <c r="P406" s="144">
        <f t="shared" si="77"/>
        <v>41.5</v>
      </c>
      <c r="Q406" s="144">
        <f t="shared" si="77"/>
        <v>647</v>
      </c>
      <c r="R406" s="144">
        <f t="shared" si="77"/>
        <v>105</v>
      </c>
      <c r="S406" s="144">
        <f t="shared" si="77"/>
        <v>793.5</v>
      </c>
      <c r="T406" s="144">
        <f t="shared" si="77"/>
        <v>0</v>
      </c>
      <c r="U406" s="144">
        <f t="shared" si="77"/>
        <v>0</v>
      </c>
      <c r="V406" s="144">
        <f t="shared" si="77"/>
        <v>8789</v>
      </c>
      <c r="W406" s="144">
        <f t="shared" si="77"/>
        <v>0</v>
      </c>
      <c r="X406" s="144">
        <f t="shared" si="77"/>
        <v>0</v>
      </c>
      <c r="Y406" s="144">
        <f t="shared" si="77"/>
        <v>5272</v>
      </c>
      <c r="Z406" s="144">
        <f t="shared" si="77"/>
        <v>38573</v>
      </c>
      <c r="AA406" s="144">
        <f t="shared" si="77"/>
        <v>0</v>
      </c>
      <c r="AB406" s="144">
        <f t="shared" si="77"/>
        <v>60051</v>
      </c>
      <c r="AC406" s="224"/>
      <c r="AD406" s="224"/>
      <c r="AE406" s="224"/>
      <c r="AF406" s="224"/>
      <c r="AG406" s="224"/>
      <c r="AH406" s="224"/>
      <c r="AI406" s="224"/>
      <c r="AJ406" s="268"/>
      <c r="AM406" s="219">
        <f>AM405+AM404</f>
        <v>2480184</v>
      </c>
    </row>
    <row r="407" spans="1:83" s="219" customFormat="1" ht="13.5" x14ac:dyDescent="0.25">
      <c r="A407" s="247"/>
      <c r="B407" s="157"/>
      <c r="C407" s="157"/>
      <c r="D407" s="157"/>
      <c r="E407" s="76">
        <f>E404-E406</f>
        <v>55842.460000000006</v>
      </c>
      <c r="F407" s="86">
        <f t="shared" ref="F407:AB407" si="78">F404-F406</f>
        <v>642823.46</v>
      </c>
      <c r="G407" s="86">
        <f t="shared" si="78"/>
        <v>154349.46</v>
      </c>
      <c r="H407" s="86">
        <f t="shared" si="78"/>
        <v>91761</v>
      </c>
      <c r="I407" s="86">
        <f t="shared" si="78"/>
        <v>220633</v>
      </c>
      <c r="J407" s="86">
        <f t="shared" si="78"/>
        <v>176080</v>
      </c>
      <c r="K407" s="76">
        <f t="shared" si="78"/>
        <v>154349.46</v>
      </c>
      <c r="L407" s="76">
        <f t="shared" si="78"/>
        <v>45881</v>
      </c>
      <c r="M407" s="76">
        <f t="shared" si="78"/>
        <v>110317</v>
      </c>
      <c r="N407" s="76">
        <f t="shared" si="78"/>
        <v>88040</v>
      </c>
      <c r="O407" s="76">
        <f t="shared" si="78"/>
        <v>398022.46</v>
      </c>
      <c r="P407" s="76">
        <f t="shared" si="78"/>
        <v>45881</v>
      </c>
      <c r="Q407" s="76">
        <f t="shared" si="78"/>
        <v>110317</v>
      </c>
      <c r="R407" s="76">
        <f t="shared" si="78"/>
        <v>88040</v>
      </c>
      <c r="S407" s="76">
        <f t="shared" si="78"/>
        <v>244238</v>
      </c>
      <c r="T407" s="76" t="e">
        <f t="shared" si="78"/>
        <v>#REF!</v>
      </c>
      <c r="U407" s="76">
        <f t="shared" si="78"/>
        <v>1238</v>
      </c>
      <c r="V407" s="86">
        <f t="shared" si="78"/>
        <v>76742</v>
      </c>
      <c r="W407" s="76" t="e">
        <f t="shared" si="78"/>
        <v>#REF!</v>
      </c>
      <c r="X407" s="76">
        <f t="shared" si="78"/>
        <v>10277</v>
      </c>
      <c r="Y407" s="86">
        <f t="shared" si="78"/>
        <v>1694164.54</v>
      </c>
      <c r="Z407" s="86">
        <f t="shared" si="78"/>
        <v>3395</v>
      </c>
      <c r="AA407" s="86">
        <f t="shared" si="78"/>
        <v>2450.5</v>
      </c>
      <c r="AB407" s="86">
        <f t="shared" si="78"/>
        <v>2417125</v>
      </c>
      <c r="AC407" s="224"/>
      <c r="AD407" s="224"/>
      <c r="AE407" s="224"/>
      <c r="AF407" s="224"/>
      <c r="AG407" s="224"/>
      <c r="AH407" s="224"/>
      <c r="AI407" s="224"/>
      <c r="AJ407" s="268"/>
      <c r="AM407" s="219">
        <f>AB404-AM406</f>
        <v>-3008</v>
      </c>
    </row>
    <row r="408" spans="1:83" s="81" customFormat="1" ht="13.5" x14ac:dyDescent="0.25">
      <c r="A408" s="235"/>
      <c r="B408" s="271"/>
      <c r="C408" s="271"/>
      <c r="D408" s="271"/>
      <c r="E408" s="77"/>
      <c r="F408" s="83"/>
      <c r="G408" s="77"/>
      <c r="H408" s="80"/>
      <c r="I408" s="80"/>
      <c r="J408" s="80"/>
      <c r="K408" s="77"/>
      <c r="L408" s="78"/>
      <c r="M408" s="78"/>
      <c r="N408" s="78"/>
      <c r="O408" s="78"/>
      <c r="P408" s="79"/>
      <c r="Q408" s="79"/>
      <c r="R408" s="79"/>
      <c r="S408" s="76"/>
      <c r="T408" s="77"/>
      <c r="U408" s="77"/>
      <c r="V408" s="76"/>
      <c r="W408" s="83"/>
      <c r="X408" s="83"/>
      <c r="Y408" s="83"/>
      <c r="Z408" s="76"/>
      <c r="AA408" s="83"/>
      <c r="AB408" s="76"/>
      <c r="AC408" s="80"/>
      <c r="AD408" s="80"/>
      <c r="AE408" s="80"/>
      <c r="AF408" s="80"/>
      <c r="AG408" s="80"/>
      <c r="AH408" s="80"/>
      <c r="AI408" s="80"/>
    </row>
    <row r="409" spans="1:83" s="81" customFormat="1" ht="15.75" x14ac:dyDescent="0.25">
      <c r="A409" s="235"/>
      <c r="B409" s="666" t="s">
        <v>180</v>
      </c>
      <c r="C409" s="666"/>
      <c r="D409" s="666"/>
      <c r="E409" s="666"/>
      <c r="F409" s="666"/>
      <c r="G409" s="666"/>
      <c r="H409" s="666"/>
      <c r="I409" s="666"/>
      <c r="J409" s="666"/>
      <c r="K409" s="272"/>
      <c r="L409" s="273"/>
      <c r="M409" s="273"/>
      <c r="N409" s="273"/>
      <c r="O409" s="273"/>
      <c r="P409" s="274"/>
      <c r="Q409" s="667" t="s">
        <v>181</v>
      </c>
      <c r="R409" s="667"/>
      <c r="S409" s="667"/>
      <c r="T409" s="272"/>
      <c r="U409" s="272"/>
      <c r="V409" s="275"/>
      <c r="W409" s="83"/>
      <c r="X409" s="83"/>
      <c r="Y409" s="83"/>
      <c r="Z409" s="76"/>
      <c r="AA409" s="83"/>
      <c r="AB409" s="76"/>
      <c r="AC409" s="80"/>
      <c r="AD409" s="80"/>
      <c r="AE409" s="80"/>
      <c r="AF409" s="80"/>
      <c r="AG409" s="80"/>
      <c r="AH409" s="80"/>
      <c r="AI409" s="80"/>
    </row>
    <row r="410" spans="1:83" s="81" customFormat="1" ht="13.5" x14ac:dyDescent="0.25">
      <c r="A410" s="235"/>
      <c r="B410" s="271"/>
      <c r="C410" s="271"/>
      <c r="D410" s="271"/>
      <c r="E410" s="77"/>
      <c r="F410" s="83"/>
      <c r="G410" s="77"/>
      <c r="H410" s="80"/>
      <c r="I410" s="80"/>
      <c r="J410" s="80"/>
      <c r="K410" s="77"/>
      <c r="L410" s="78"/>
      <c r="M410" s="78"/>
      <c r="N410" s="78"/>
      <c r="O410" s="78"/>
      <c r="P410" s="79"/>
      <c r="Q410" s="79"/>
      <c r="R410" s="79"/>
      <c r="S410" s="76"/>
      <c r="T410" s="77"/>
      <c r="U410" s="77"/>
      <c r="V410" s="76"/>
      <c r="W410" s="83"/>
      <c r="X410" s="83"/>
      <c r="Y410" s="83"/>
      <c r="Z410" s="76"/>
      <c r="AA410" s="83"/>
      <c r="AB410" s="76"/>
      <c r="AC410" s="80"/>
      <c r="AD410" s="80"/>
      <c r="AE410" s="80"/>
      <c r="AF410" s="80"/>
      <c r="AG410" s="80"/>
      <c r="AH410" s="80"/>
      <c r="AI410" s="80"/>
    </row>
    <row r="411" spans="1:83" s="81" customFormat="1" ht="14.25" thickBot="1" x14ac:dyDescent="0.3">
      <c r="A411" s="235"/>
      <c r="B411" s="82"/>
      <c r="C411" s="82"/>
      <c r="D411" s="82"/>
      <c r="E411" s="77"/>
      <c r="F411" s="83"/>
      <c r="G411" s="83"/>
      <c r="H411" s="76"/>
      <c r="I411" s="76"/>
      <c r="J411" s="76"/>
      <c r="K411" s="77"/>
      <c r="L411" s="78"/>
      <c r="M411" s="78"/>
      <c r="N411" s="78"/>
      <c r="O411" s="78"/>
      <c r="P411" s="79"/>
      <c r="Q411" s="79"/>
      <c r="R411" s="79"/>
      <c r="S411" s="76"/>
      <c r="T411" s="77"/>
      <c r="U411" s="77"/>
      <c r="V411" s="76"/>
      <c r="W411" s="83"/>
      <c r="X411" s="83"/>
      <c r="Y411" s="83"/>
      <c r="Z411" s="76"/>
      <c r="AA411" s="83"/>
      <c r="AB411" s="76"/>
      <c r="AC411" s="80"/>
      <c r="AD411" s="80"/>
      <c r="AE411" s="80"/>
      <c r="AF411" s="80"/>
      <c r="AG411" s="80"/>
      <c r="AH411" s="80"/>
      <c r="AI411" s="80"/>
    </row>
    <row r="412" spans="1:83" ht="13.5" x14ac:dyDescent="0.25">
      <c r="A412" s="668" t="s">
        <v>33</v>
      </c>
      <c r="B412" s="670"/>
      <c r="C412" s="670"/>
      <c r="D412" s="670"/>
      <c r="E412" s="663" t="s">
        <v>182</v>
      </c>
      <c r="F412" s="665" t="s">
        <v>93</v>
      </c>
      <c r="G412" s="629" t="s">
        <v>94</v>
      </c>
      <c r="H412" s="629"/>
      <c r="I412" s="629"/>
      <c r="J412" s="629"/>
      <c r="K412" s="672" t="s">
        <v>95</v>
      </c>
      <c r="L412" s="672"/>
      <c r="M412" s="672"/>
      <c r="N412" s="672"/>
      <c r="O412" s="672"/>
      <c r="P412" s="629" t="s">
        <v>96</v>
      </c>
      <c r="Q412" s="629"/>
      <c r="R412" s="629"/>
      <c r="S412" s="629"/>
      <c r="T412" s="661" t="s">
        <v>97</v>
      </c>
      <c r="U412" s="663" t="s">
        <v>98</v>
      </c>
      <c r="V412" s="665" t="s">
        <v>183</v>
      </c>
      <c r="W412" s="665" t="s">
        <v>100</v>
      </c>
      <c r="X412" s="665" t="s">
        <v>101</v>
      </c>
      <c r="Y412" s="276"/>
      <c r="Z412" s="276"/>
      <c r="AA412" s="665" t="s">
        <v>104</v>
      </c>
      <c r="AB412" s="277"/>
      <c r="AC412" s="660" t="s">
        <v>106</v>
      </c>
      <c r="AD412" s="578" t="s">
        <v>107</v>
      </c>
      <c r="AE412" s="578" t="s">
        <v>108</v>
      </c>
      <c r="AF412" s="578" t="s">
        <v>109</v>
      </c>
      <c r="AG412" s="578" t="s">
        <v>110</v>
      </c>
      <c r="AH412" s="578" t="s">
        <v>111</v>
      </c>
      <c r="AI412" s="578" t="s">
        <v>112</v>
      </c>
      <c r="AJ412" s="579" t="s">
        <v>113</v>
      </c>
      <c r="AK412" s="581" t="s">
        <v>114</v>
      </c>
    </row>
    <row r="413" spans="1:83" x14ac:dyDescent="0.25">
      <c r="A413" s="669"/>
      <c r="B413" s="671"/>
      <c r="C413" s="671"/>
      <c r="D413" s="671"/>
      <c r="E413" s="664"/>
      <c r="F413" s="589"/>
      <c r="G413" s="583">
        <v>1</v>
      </c>
      <c r="H413" s="583">
        <v>2</v>
      </c>
      <c r="I413" s="583">
        <v>3</v>
      </c>
      <c r="J413" s="583">
        <v>4</v>
      </c>
      <c r="K413" s="578"/>
      <c r="L413" s="578"/>
      <c r="M413" s="578"/>
      <c r="N413" s="578"/>
      <c r="O413" s="578"/>
      <c r="P413" s="659">
        <v>2</v>
      </c>
      <c r="Q413" s="583">
        <v>3</v>
      </c>
      <c r="R413" s="583">
        <v>4</v>
      </c>
      <c r="S413" s="589" t="s">
        <v>115</v>
      </c>
      <c r="T413" s="662"/>
      <c r="U413" s="664"/>
      <c r="V413" s="589"/>
      <c r="W413" s="589"/>
      <c r="X413" s="589"/>
      <c r="Y413" s="278"/>
      <c r="Z413" s="278"/>
      <c r="AA413" s="589"/>
      <c r="AB413" s="279"/>
      <c r="AC413" s="660"/>
      <c r="AD413" s="578"/>
      <c r="AE413" s="578"/>
      <c r="AF413" s="578"/>
      <c r="AG413" s="578"/>
      <c r="AH413" s="578"/>
      <c r="AI413" s="578"/>
      <c r="AJ413" s="580"/>
      <c r="AK413" s="581"/>
    </row>
    <row r="414" spans="1:83" ht="15.75" x14ac:dyDescent="0.25">
      <c r="A414" s="669"/>
      <c r="B414" s="671"/>
      <c r="C414" s="671"/>
      <c r="D414" s="671"/>
      <c r="E414" s="664"/>
      <c r="F414" s="589"/>
      <c r="G414" s="583"/>
      <c r="H414" s="583"/>
      <c r="I414" s="583"/>
      <c r="J414" s="583"/>
      <c r="K414" s="92">
        <v>1</v>
      </c>
      <c r="L414" s="92">
        <v>2</v>
      </c>
      <c r="M414" s="92">
        <v>3</v>
      </c>
      <c r="N414" s="92">
        <v>4</v>
      </c>
      <c r="O414" s="280" t="s">
        <v>115</v>
      </c>
      <c r="P414" s="659"/>
      <c r="Q414" s="583"/>
      <c r="R414" s="583"/>
      <c r="S414" s="589"/>
      <c r="T414" s="662"/>
      <c r="U414" s="664"/>
      <c r="V414" s="589"/>
      <c r="W414" s="589"/>
      <c r="X414" s="589"/>
      <c r="Y414" s="278" t="s">
        <v>184</v>
      </c>
      <c r="Z414" s="278"/>
      <c r="AA414" s="589"/>
      <c r="AB414" s="279"/>
      <c r="AC414" s="660"/>
      <c r="AD414" s="578"/>
      <c r="AE414" s="578"/>
      <c r="AF414" s="578"/>
      <c r="AG414" s="578"/>
      <c r="AH414" s="578"/>
      <c r="AI414" s="578"/>
      <c r="AJ414" s="580"/>
      <c r="AK414" s="5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</row>
    <row r="415" spans="1:83" s="102" customFormat="1" ht="14.25" thickBot="1" x14ac:dyDescent="0.3">
      <c r="A415" s="281"/>
      <c r="B415" s="656"/>
      <c r="C415" s="656"/>
      <c r="D415" s="656"/>
      <c r="E415" s="282"/>
      <c r="F415" s="283"/>
      <c r="G415" s="283"/>
      <c r="H415" s="283"/>
      <c r="I415" s="283"/>
      <c r="J415" s="283"/>
      <c r="K415" s="282"/>
      <c r="L415" s="282"/>
      <c r="M415" s="282"/>
      <c r="N415" s="282"/>
      <c r="O415" s="282"/>
      <c r="P415" s="283"/>
      <c r="Q415" s="284"/>
      <c r="R415" s="284"/>
      <c r="S415" s="283"/>
      <c r="T415" s="282"/>
      <c r="U415" s="282"/>
      <c r="V415" s="283"/>
      <c r="W415" s="283"/>
      <c r="X415" s="283"/>
      <c r="Y415" s="283"/>
      <c r="Z415" s="283"/>
      <c r="AA415" s="283"/>
      <c r="AB415" s="285"/>
      <c r="AC415" s="286">
        <v>17</v>
      </c>
      <c r="AD415" s="101">
        <v>18</v>
      </c>
      <c r="AE415" s="101">
        <v>19</v>
      </c>
      <c r="AF415" s="101">
        <v>20</v>
      </c>
      <c r="AG415" s="101">
        <v>21</v>
      </c>
      <c r="AH415" s="101">
        <v>22</v>
      </c>
      <c r="AI415" s="101">
        <v>23</v>
      </c>
      <c r="AJ415" s="101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</row>
    <row r="416" spans="1:83" s="147" customFormat="1" ht="14.25" thickBot="1" x14ac:dyDescent="0.3">
      <c r="A416" s="657" t="s">
        <v>123</v>
      </c>
      <c r="B416" s="658"/>
      <c r="C416" s="658"/>
      <c r="D416" s="658"/>
      <c r="E416" s="287">
        <f>E59</f>
        <v>5267.2300000000005</v>
      </c>
      <c r="F416" s="287">
        <f t="shared" ref="F416:AK417" si="79">F59</f>
        <v>80605.23000000001</v>
      </c>
      <c r="G416" s="287">
        <f t="shared" si="79"/>
        <v>18631.23</v>
      </c>
      <c r="H416" s="287">
        <f t="shared" si="79"/>
        <v>12609</v>
      </c>
      <c r="I416" s="287">
        <f t="shared" si="79"/>
        <v>42254</v>
      </c>
      <c r="J416" s="287">
        <f t="shared" si="79"/>
        <v>7111</v>
      </c>
      <c r="K416" s="287">
        <f t="shared" si="79"/>
        <v>18631.23</v>
      </c>
      <c r="L416" s="287">
        <f t="shared" si="79"/>
        <v>6304.5</v>
      </c>
      <c r="M416" s="287">
        <f t="shared" si="79"/>
        <v>21127</v>
      </c>
      <c r="N416" s="287">
        <f t="shared" si="79"/>
        <v>3555.5</v>
      </c>
      <c r="O416" s="287">
        <f t="shared" si="79"/>
        <v>49618.23000000001</v>
      </c>
      <c r="P416" s="287">
        <f t="shared" si="79"/>
        <v>6304.5</v>
      </c>
      <c r="Q416" s="287">
        <f t="shared" si="79"/>
        <v>21127</v>
      </c>
      <c r="R416" s="287">
        <f t="shared" si="79"/>
        <v>3555.5</v>
      </c>
      <c r="S416" s="287">
        <f t="shared" si="79"/>
        <v>30987</v>
      </c>
      <c r="T416" s="287">
        <f t="shared" si="79"/>
        <v>16142</v>
      </c>
      <c r="U416" s="287">
        <f t="shared" si="79"/>
        <v>0</v>
      </c>
      <c r="V416" s="287">
        <f t="shared" si="79"/>
        <v>16142</v>
      </c>
      <c r="W416" s="287">
        <f t="shared" si="79"/>
        <v>233547</v>
      </c>
      <c r="X416" s="287">
        <f t="shared" si="79"/>
        <v>0</v>
      </c>
      <c r="Y416" s="287">
        <f t="shared" si="79"/>
        <v>230808.77000000002</v>
      </c>
      <c r="Z416" s="287">
        <f t="shared" si="79"/>
        <v>2424</v>
      </c>
      <c r="AA416" s="287">
        <f t="shared" si="79"/>
        <v>259</v>
      </c>
      <c r="AB416" s="288">
        <f t="shared" si="79"/>
        <v>329980</v>
      </c>
      <c r="AC416" s="117">
        <f t="shared" si="79"/>
        <v>96</v>
      </c>
      <c r="AD416" s="118">
        <f t="shared" si="79"/>
        <v>49522.23000000001</v>
      </c>
      <c r="AE416" s="118">
        <f t="shared" si="79"/>
        <v>0</v>
      </c>
      <c r="AF416" s="118" t="e">
        <f t="shared" si="79"/>
        <v>#REF!</v>
      </c>
      <c r="AG416" s="118">
        <f t="shared" si="79"/>
        <v>750</v>
      </c>
      <c r="AH416" s="118" t="e">
        <f t="shared" si="79"/>
        <v>#REF!</v>
      </c>
      <c r="AI416" s="118">
        <f t="shared" si="79"/>
        <v>262</v>
      </c>
      <c r="AJ416" s="118">
        <f t="shared" si="79"/>
        <v>0</v>
      </c>
      <c r="AK416" s="118">
        <f t="shared" si="79"/>
        <v>330294.23</v>
      </c>
    </row>
    <row r="417" spans="1:37" s="294" customFormat="1" ht="13.5" x14ac:dyDescent="0.25">
      <c r="A417" s="652" t="s">
        <v>124</v>
      </c>
      <c r="B417" s="653"/>
      <c r="C417" s="653"/>
      <c r="D417" s="653"/>
      <c r="E417" s="289">
        <f>E60</f>
        <v>0</v>
      </c>
      <c r="F417" s="289">
        <f t="shared" si="79"/>
        <v>0</v>
      </c>
      <c r="G417" s="289">
        <f t="shared" si="79"/>
        <v>0</v>
      </c>
      <c r="H417" s="289">
        <f t="shared" si="79"/>
        <v>0</v>
      </c>
      <c r="I417" s="289">
        <f t="shared" si="79"/>
        <v>0</v>
      </c>
      <c r="J417" s="289">
        <f t="shared" si="79"/>
        <v>0</v>
      </c>
      <c r="K417" s="289">
        <f t="shared" si="79"/>
        <v>0</v>
      </c>
      <c r="L417" s="289">
        <f t="shared" si="79"/>
        <v>0</v>
      </c>
      <c r="M417" s="289">
        <f t="shared" si="79"/>
        <v>0</v>
      </c>
      <c r="N417" s="289">
        <f t="shared" si="79"/>
        <v>0</v>
      </c>
      <c r="O417" s="289">
        <f t="shared" si="79"/>
        <v>0</v>
      </c>
      <c r="P417" s="289">
        <f t="shared" si="79"/>
        <v>0</v>
      </c>
      <c r="Q417" s="289">
        <f t="shared" si="79"/>
        <v>0</v>
      </c>
      <c r="R417" s="289">
        <f t="shared" si="79"/>
        <v>0</v>
      </c>
      <c r="S417" s="289">
        <f t="shared" si="79"/>
        <v>0</v>
      </c>
      <c r="T417" s="289">
        <f t="shared" si="79"/>
        <v>0</v>
      </c>
      <c r="U417" s="289">
        <f t="shared" si="79"/>
        <v>0</v>
      </c>
      <c r="V417" s="289">
        <f t="shared" si="79"/>
        <v>1558</v>
      </c>
      <c r="W417" s="289">
        <f t="shared" si="79"/>
        <v>0</v>
      </c>
      <c r="X417" s="289">
        <f t="shared" si="79"/>
        <v>0</v>
      </c>
      <c r="Y417" s="289">
        <f t="shared" si="79"/>
        <v>42</v>
      </c>
      <c r="Z417" s="289">
        <f t="shared" si="79"/>
        <v>2424</v>
      </c>
      <c r="AA417" s="289">
        <f t="shared" si="79"/>
        <v>0</v>
      </c>
      <c r="AB417" s="290">
        <f t="shared" si="79"/>
        <v>4024</v>
      </c>
      <c r="AC417" s="291"/>
      <c r="AD417" s="291"/>
      <c r="AE417" s="291"/>
      <c r="AF417" s="291"/>
      <c r="AG417" s="291"/>
      <c r="AH417" s="291"/>
      <c r="AI417" s="291"/>
      <c r="AJ417" s="292"/>
      <c r="AK417" s="293"/>
    </row>
    <row r="418" spans="1:37" s="294" customFormat="1" ht="13.5" x14ac:dyDescent="0.25">
      <c r="A418" s="646" t="s">
        <v>185</v>
      </c>
      <c r="B418" s="647"/>
      <c r="C418" s="647"/>
      <c r="D418" s="647"/>
      <c r="E418" s="295">
        <v>0</v>
      </c>
      <c r="F418" s="295">
        <v>0</v>
      </c>
      <c r="G418" s="295">
        <v>0</v>
      </c>
      <c r="H418" s="295">
        <v>0</v>
      </c>
      <c r="I418" s="295">
        <v>0</v>
      </c>
      <c r="J418" s="295">
        <v>0</v>
      </c>
      <c r="K418" s="295">
        <v>0</v>
      </c>
      <c r="L418" s="295">
        <v>0</v>
      </c>
      <c r="M418" s="295">
        <v>0</v>
      </c>
      <c r="N418" s="295">
        <v>0</v>
      </c>
      <c r="O418" s="295">
        <v>0</v>
      </c>
      <c r="P418" s="295">
        <v>0</v>
      </c>
      <c r="Q418" s="296">
        <v>0</v>
      </c>
      <c r="R418" s="296">
        <v>0</v>
      </c>
      <c r="S418" s="295">
        <v>0</v>
      </c>
      <c r="T418" s="295"/>
      <c r="U418" s="295"/>
      <c r="V418" s="295">
        <v>0</v>
      </c>
      <c r="W418" s="295"/>
      <c r="X418" s="295"/>
      <c r="Y418" s="295">
        <v>42</v>
      </c>
      <c r="Z418" s="295">
        <v>0</v>
      </c>
      <c r="AA418" s="295">
        <v>0</v>
      </c>
      <c r="AB418" s="297">
        <f>F418+V418+Y418+Z418</f>
        <v>42</v>
      </c>
      <c r="AC418" s="291"/>
      <c r="AD418" s="291"/>
      <c r="AE418" s="291"/>
      <c r="AF418" s="291"/>
      <c r="AG418" s="291"/>
      <c r="AH418" s="291"/>
      <c r="AI418" s="291"/>
      <c r="AJ418" s="292"/>
      <c r="AK418" s="298"/>
    </row>
    <row r="419" spans="1:37" s="294" customFormat="1" ht="14.25" thickBot="1" x14ac:dyDescent="0.3">
      <c r="A419" s="648" t="s">
        <v>186</v>
      </c>
      <c r="B419" s="649"/>
      <c r="C419" s="649"/>
      <c r="D419" s="649"/>
      <c r="E419" s="299">
        <v>0</v>
      </c>
      <c r="F419" s="299">
        <v>0</v>
      </c>
      <c r="G419" s="299">
        <v>0</v>
      </c>
      <c r="H419" s="299">
        <v>0</v>
      </c>
      <c r="I419" s="299">
        <v>0</v>
      </c>
      <c r="J419" s="299">
        <v>0</v>
      </c>
      <c r="K419" s="299">
        <v>0</v>
      </c>
      <c r="L419" s="299">
        <v>0</v>
      </c>
      <c r="M419" s="299">
        <v>0</v>
      </c>
      <c r="N419" s="299">
        <v>0</v>
      </c>
      <c r="O419" s="299">
        <v>0</v>
      </c>
      <c r="P419" s="299">
        <v>0</v>
      </c>
      <c r="Q419" s="300">
        <v>0</v>
      </c>
      <c r="R419" s="300">
        <v>0</v>
      </c>
      <c r="S419" s="299">
        <v>0</v>
      </c>
      <c r="T419" s="299"/>
      <c r="U419" s="299"/>
      <c r="V419" s="299">
        <v>1558</v>
      </c>
      <c r="W419" s="299"/>
      <c r="X419" s="299"/>
      <c r="Y419" s="299">
        <v>0</v>
      </c>
      <c r="Z419" s="299">
        <v>0</v>
      </c>
      <c r="AA419" s="299">
        <v>0</v>
      </c>
      <c r="AB419" s="297">
        <f>F419+V419+Y419+Z419</f>
        <v>1558</v>
      </c>
      <c r="AC419" s="291"/>
      <c r="AD419" s="291"/>
      <c r="AE419" s="291"/>
      <c r="AF419" s="291"/>
      <c r="AG419" s="291"/>
      <c r="AH419" s="291"/>
      <c r="AI419" s="291"/>
      <c r="AJ419" s="292"/>
      <c r="AK419" s="298"/>
    </row>
    <row r="420" spans="1:37" s="81" customFormat="1" ht="14.25" thickBot="1" x14ac:dyDescent="0.3">
      <c r="A420" s="642" t="s">
        <v>129</v>
      </c>
      <c r="B420" s="643"/>
      <c r="C420" s="643"/>
      <c r="D420" s="643"/>
      <c r="E420" s="287">
        <f>E89</f>
        <v>3894.19</v>
      </c>
      <c r="F420" s="287">
        <f t="shared" ref="F420:AB420" si="80">F89</f>
        <v>42265.189999999995</v>
      </c>
      <c r="G420" s="287">
        <f t="shared" si="80"/>
        <v>8952.19</v>
      </c>
      <c r="H420" s="287">
        <f t="shared" si="80"/>
        <v>2798</v>
      </c>
      <c r="I420" s="287">
        <f t="shared" si="80"/>
        <v>13732</v>
      </c>
      <c r="J420" s="287">
        <f t="shared" si="80"/>
        <v>16783</v>
      </c>
      <c r="K420" s="287">
        <f t="shared" si="80"/>
        <v>8952.19</v>
      </c>
      <c r="L420" s="287">
        <f t="shared" si="80"/>
        <v>1399</v>
      </c>
      <c r="M420" s="287">
        <f t="shared" si="80"/>
        <v>6866</v>
      </c>
      <c r="N420" s="287">
        <f t="shared" si="80"/>
        <v>8391.5</v>
      </c>
      <c r="O420" s="287">
        <f t="shared" si="80"/>
        <v>25608.69</v>
      </c>
      <c r="P420" s="287">
        <f t="shared" si="80"/>
        <v>1399</v>
      </c>
      <c r="Q420" s="287">
        <f t="shared" si="80"/>
        <v>6866</v>
      </c>
      <c r="R420" s="287">
        <f t="shared" si="80"/>
        <v>8391.5</v>
      </c>
      <c r="S420" s="287">
        <f t="shared" si="80"/>
        <v>16656.5</v>
      </c>
      <c r="T420" s="287">
        <f t="shared" si="80"/>
        <v>6070</v>
      </c>
      <c r="U420" s="287">
        <f t="shared" si="80"/>
        <v>0</v>
      </c>
      <c r="V420" s="287">
        <f t="shared" si="80"/>
        <v>6070</v>
      </c>
      <c r="W420" s="287">
        <f t="shared" si="80"/>
        <v>96994</v>
      </c>
      <c r="X420" s="287">
        <f t="shared" si="80"/>
        <v>0</v>
      </c>
      <c r="Y420" s="287">
        <f t="shared" si="80"/>
        <v>93099.810000000012</v>
      </c>
      <c r="Z420" s="287">
        <f t="shared" si="80"/>
        <v>416</v>
      </c>
      <c r="AA420" s="287">
        <f t="shared" si="80"/>
        <v>118.5</v>
      </c>
      <c r="AB420" s="288">
        <f t="shared" si="80"/>
        <v>141851</v>
      </c>
      <c r="AC420" s="80">
        <v>0</v>
      </c>
      <c r="AD420" s="80">
        <v>25194</v>
      </c>
      <c r="AE420" s="80">
        <v>6</v>
      </c>
      <c r="AF420" s="80">
        <v>6064</v>
      </c>
      <c r="AG420" s="80">
        <v>564</v>
      </c>
      <c r="AH420" s="80">
        <v>92951</v>
      </c>
      <c r="AI420" s="80">
        <v>119</v>
      </c>
      <c r="AK420" s="81">
        <v>144914</v>
      </c>
    </row>
    <row r="421" spans="1:37" s="305" customFormat="1" ht="13.5" x14ac:dyDescent="0.25">
      <c r="A421" s="654" t="s">
        <v>124</v>
      </c>
      <c r="B421" s="655"/>
      <c r="C421" s="655"/>
      <c r="D421" s="655"/>
      <c r="E421" s="301">
        <f>E93</f>
        <v>0</v>
      </c>
      <c r="F421" s="301">
        <f t="shared" ref="F421:AK421" si="81">F93</f>
        <v>1004</v>
      </c>
      <c r="G421" s="301">
        <f t="shared" si="81"/>
        <v>1004</v>
      </c>
      <c r="H421" s="301">
        <f t="shared" si="81"/>
        <v>0</v>
      </c>
      <c r="I421" s="301">
        <f t="shared" si="81"/>
        <v>0</v>
      </c>
      <c r="J421" s="301">
        <f t="shared" si="81"/>
        <v>0</v>
      </c>
      <c r="K421" s="301">
        <f t="shared" si="81"/>
        <v>1004</v>
      </c>
      <c r="L421" s="301">
        <f t="shared" si="81"/>
        <v>0</v>
      </c>
      <c r="M421" s="301">
        <f t="shared" si="81"/>
        <v>0</v>
      </c>
      <c r="N421" s="301">
        <f t="shared" si="81"/>
        <v>0</v>
      </c>
      <c r="O421" s="301">
        <f t="shared" si="81"/>
        <v>0</v>
      </c>
      <c r="P421" s="301">
        <f t="shared" si="81"/>
        <v>0</v>
      </c>
      <c r="Q421" s="301">
        <f t="shared" si="81"/>
        <v>0</v>
      </c>
      <c r="R421" s="301">
        <f t="shared" si="81"/>
        <v>0</v>
      </c>
      <c r="S421" s="301">
        <f t="shared" si="81"/>
        <v>0</v>
      </c>
      <c r="T421" s="301">
        <f t="shared" si="81"/>
        <v>0</v>
      </c>
      <c r="U421" s="301">
        <f t="shared" si="81"/>
        <v>0</v>
      </c>
      <c r="V421" s="301">
        <f t="shared" si="81"/>
        <v>794</v>
      </c>
      <c r="W421" s="301">
        <f t="shared" si="81"/>
        <v>0</v>
      </c>
      <c r="X421" s="301">
        <f t="shared" si="81"/>
        <v>0</v>
      </c>
      <c r="Y421" s="301">
        <f t="shared" si="81"/>
        <v>72</v>
      </c>
      <c r="Z421" s="301">
        <f t="shared" si="81"/>
        <v>416</v>
      </c>
      <c r="AA421" s="301">
        <f t="shared" si="81"/>
        <v>0</v>
      </c>
      <c r="AB421" s="302">
        <f t="shared" si="81"/>
        <v>2286</v>
      </c>
      <c r="AC421" s="303">
        <f t="shared" si="81"/>
        <v>0</v>
      </c>
      <c r="AD421" s="304">
        <f t="shared" si="81"/>
        <v>0</v>
      </c>
      <c r="AE421" s="304">
        <f t="shared" si="81"/>
        <v>0</v>
      </c>
      <c r="AF421" s="304">
        <f t="shared" si="81"/>
        <v>0</v>
      </c>
      <c r="AG421" s="304">
        <f t="shared" si="81"/>
        <v>0</v>
      </c>
      <c r="AH421" s="304">
        <f t="shared" si="81"/>
        <v>0</v>
      </c>
      <c r="AI421" s="304">
        <f t="shared" si="81"/>
        <v>0</v>
      </c>
      <c r="AJ421" s="304">
        <f t="shared" si="81"/>
        <v>0</v>
      </c>
      <c r="AK421" s="304">
        <f t="shared" si="81"/>
        <v>0</v>
      </c>
    </row>
    <row r="422" spans="1:37" s="305" customFormat="1" ht="13.5" x14ac:dyDescent="0.25">
      <c r="A422" s="646" t="s">
        <v>185</v>
      </c>
      <c r="B422" s="647"/>
      <c r="C422" s="647"/>
      <c r="D422" s="647"/>
      <c r="E422" s="304">
        <v>0</v>
      </c>
      <c r="F422" s="295">
        <v>1004</v>
      </c>
      <c r="G422" s="295">
        <v>1004</v>
      </c>
      <c r="H422" s="295">
        <v>0</v>
      </c>
      <c r="I422" s="295">
        <v>0</v>
      </c>
      <c r="J422" s="295">
        <v>0</v>
      </c>
      <c r="K422" s="295">
        <v>1004</v>
      </c>
      <c r="L422" s="295">
        <v>0</v>
      </c>
      <c r="M422" s="295">
        <v>0</v>
      </c>
      <c r="N422" s="295">
        <v>0</v>
      </c>
      <c r="O422" s="295">
        <v>0</v>
      </c>
      <c r="P422" s="295">
        <v>0</v>
      </c>
      <c r="Q422" s="296">
        <v>0</v>
      </c>
      <c r="R422" s="296">
        <v>0</v>
      </c>
      <c r="S422" s="295">
        <v>0</v>
      </c>
      <c r="T422" s="295"/>
      <c r="U422" s="295"/>
      <c r="V422" s="295">
        <v>794</v>
      </c>
      <c r="W422" s="295"/>
      <c r="X422" s="295"/>
      <c r="Y422" s="295">
        <v>0</v>
      </c>
      <c r="Z422" s="295">
        <v>0</v>
      </c>
      <c r="AA422" s="295">
        <v>0</v>
      </c>
      <c r="AB422" s="297">
        <f>F422+V422+Y422+Z422</f>
        <v>1798</v>
      </c>
      <c r="AC422" s="306"/>
      <c r="AD422" s="306"/>
      <c r="AE422" s="306"/>
      <c r="AF422" s="306"/>
      <c r="AG422" s="306"/>
      <c r="AH422" s="306"/>
      <c r="AI422" s="306"/>
    </row>
    <row r="423" spans="1:37" s="305" customFormat="1" ht="14.25" thickBot="1" x14ac:dyDescent="0.3">
      <c r="A423" s="648" t="s">
        <v>186</v>
      </c>
      <c r="B423" s="649"/>
      <c r="C423" s="649"/>
      <c r="D423" s="649"/>
      <c r="E423" s="307">
        <v>0</v>
      </c>
      <c r="F423" s="299">
        <v>0</v>
      </c>
      <c r="G423" s="299">
        <v>0</v>
      </c>
      <c r="H423" s="299">
        <v>0</v>
      </c>
      <c r="I423" s="299">
        <v>0</v>
      </c>
      <c r="J423" s="299">
        <v>0</v>
      </c>
      <c r="K423" s="299">
        <v>0</v>
      </c>
      <c r="L423" s="299">
        <v>0</v>
      </c>
      <c r="M423" s="299">
        <v>0</v>
      </c>
      <c r="N423" s="299">
        <v>0</v>
      </c>
      <c r="O423" s="299">
        <v>0</v>
      </c>
      <c r="P423" s="299">
        <v>0</v>
      </c>
      <c r="Q423" s="299">
        <v>0</v>
      </c>
      <c r="R423" s="299">
        <v>0</v>
      </c>
      <c r="S423" s="299">
        <v>0</v>
      </c>
      <c r="T423" s="299"/>
      <c r="U423" s="299"/>
      <c r="V423" s="299">
        <v>0</v>
      </c>
      <c r="W423" s="299"/>
      <c r="X423" s="299"/>
      <c r="Y423" s="299">
        <v>72</v>
      </c>
      <c r="Z423" s="299">
        <v>0</v>
      </c>
      <c r="AA423" s="299">
        <v>0</v>
      </c>
      <c r="AB423" s="297">
        <f>F423+V423+Y423+Z423</f>
        <v>72</v>
      </c>
      <c r="AC423" s="306"/>
      <c r="AD423" s="306"/>
      <c r="AE423" s="306"/>
      <c r="AF423" s="306"/>
      <c r="AG423" s="306"/>
      <c r="AH423" s="306"/>
      <c r="AI423" s="306"/>
    </row>
    <row r="424" spans="1:37" s="305" customFormat="1" ht="14.25" thickBot="1" x14ac:dyDescent="0.3">
      <c r="A424" s="642" t="s">
        <v>187</v>
      </c>
      <c r="B424" s="643"/>
      <c r="C424" s="643"/>
      <c r="D424" s="643"/>
      <c r="E424" s="308">
        <f>E92</f>
        <v>0</v>
      </c>
      <c r="F424" s="308">
        <f t="shared" ref="F424:AB424" si="82">F92</f>
        <v>0</v>
      </c>
      <c r="G424" s="308">
        <f t="shared" si="82"/>
        <v>0</v>
      </c>
      <c r="H424" s="308">
        <f t="shared" si="82"/>
        <v>0</v>
      </c>
      <c r="I424" s="308">
        <f t="shared" si="82"/>
        <v>0</v>
      </c>
      <c r="J424" s="308">
        <f t="shared" si="82"/>
        <v>0</v>
      </c>
      <c r="K424" s="308">
        <f t="shared" si="82"/>
        <v>0</v>
      </c>
      <c r="L424" s="308">
        <f t="shared" si="82"/>
        <v>0</v>
      </c>
      <c r="M424" s="308">
        <f t="shared" si="82"/>
        <v>0</v>
      </c>
      <c r="N424" s="308">
        <f t="shared" si="82"/>
        <v>0</v>
      </c>
      <c r="O424" s="308">
        <f t="shared" si="82"/>
        <v>0</v>
      </c>
      <c r="P424" s="308">
        <f t="shared" si="82"/>
        <v>0</v>
      </c>
      <c r="Q424" s="308">
        <f t="shared" si="82"/>
        <v>0</v>
      </c>
      <c r="R424" s="308">
        <f t="shared" si="82"/>
        <v>0</v>
      </c>
      <c r="S424" s="308">
        <f t="shared" si="82"/>
        <v>0</v>
      </c>
      <c r="T424" s="308">
        <f t="shared" si="82"/>
        <v>0</v>
      </c>
      <c r="U424" s="308">
        <f t="shared" si="82"/>
        <v>0</v>
      </c>
      <c r="V424" s="308">
        <f t="shared" si="82"/>
        <v>0</v>
      </c>
      <c r="W424" s="308">
        <f t="shared" si="82"/>
        <v>0</v>
      </c>
      <c r="X424" s="308">
        <f t="shared" si="82"/>
        <v>0</v>
      </c>
      <c r="Y424" s="308">
        <f t="shared" si="82"/>
        <v>14627</v>
      </c>
      <c r="Z424" s="308">
        <f t="shared" si="82"/>
        <v>0</v>
      </c>
      <c r="AA424" s="308">
        <f t="shared" si="82"/>
        <v>0</v>
      </c>
      <c r="AB424" s="309">
        <f t="shared" si="82"/>
        <v>14627</v>
      </c>
      <c r="AC424" s="306"/>
      <c r="AD424" s="306"/>
      <c r="AE424" s="306"/>
      <c r="AF424" s="306"/>
      <c r="AG424" s="306"/>
      <c r="AH424" s="306"/>
      <c r="AI424" s="306"/>
    </row>
    <row r="425" spans="1:37" s="81" customFormat="1" ht="13.5" x14ac:dyDescent="0.25">
      <c r="A425" s="633" t="s">
        <v>188</v>
      </c>
      <c r="B425" s="634"/>
      <c r="C425" s="634"/>
      <c r="D425" s="634"/>
      <c r="E425" s="191">
        <f>E416+E420+E424</f>
        <v>9161.42</v>
      </c>
      <c r="F425" s="191">
        <f t="shared" ref="F425:AB425" si="83">F416+F420+F424</f>
        <v>122870.42000000001</v>
      </c>
      <c r="G425" s="191">
        <f t="shared" si="83"/>
        <v>27583.42</v>
      </c>
      <c r="H425" s="191">
        <f t="shared" si="83"/>
        <v>15407</v>
      </c>
      <c r="I425" s="191">
        <f t="shared" si="83"/>
        <v>55986</v>
      </c>
      <c r="J425" s="191">
        <f t="shared" si="83"/>
        <v>23894</v>
      </c>
      <c r="K425" s="191">
        <f t="shared" si="83"/>
        <v>27583.42</v>
      </c>
      <c r="L425" s="191">
        <f t="shared" si="83"/>
        <v>7703.5</v>
      </c>
      <c r="M425" s="191">
        <f t="shared" si="83"/>
        <v>27993</v>
      </c>
      <c r="N425" s="191">
        <f t="shared" si="83"/>
        <v>11947</v>
      </c>
      <c r="O425" s="191">
        <f t="shared" si="83"/>
        <v>75226.920000000013</v>
      </c>
      <c r="P425" s="191">
        <f t="shared" si="83"/>
        <v>7703.5</v>
      </c>
      <c r="Q425" s="191">
        <f t="shared" si="83"/>
        <v>27993</v>
      </c>
      <c r="R425" s="191">
        <f t="shared" si="83"/>
        <v>11947</v>
      </c>
      <c r="S425" s="191">
        <f t="shared" si="83"/>
        <v>47643.5</v>
      </c>
      <c r="T425" s="191">
        <f t="shared" si="83"/>
        <v>22212</v>
      </c>
      <c r="U425" s="191">
        <f t="shared" si="83"/>
        <v>0</v>
      </c>
      <c r="V425" s="191">
        <f t="shared" si="83"/>
        <v>22212</v>
      </c>
      <c r="W425" s="191">
        <f t="shared" si="83"/>
        <v>330541</v>
      </c>
      <c r="X425" s="191">
        <f t="shared" si="83"/>
        <v>0</v>
      </c>
      <c r="Y425" s="191">
        <f t="shared" si="83"/>
        <v>338535.58</v>
      </c>
      <c r="Z425" s="191">
        <f t="shared" si="83"/>
        <v>2840</v>
      </c>
      <c r="AA425" s="191">
        <f t="shared" si="83"/>
        <v>377.5</v>
      </c>
      <c r="AB425" s="193">
        <f t="shared" si="83"/>
        <v>486458</v>
      </c>
      <c r="AC425" s="80"/>
      <c r="AD425" s="80"/>
      <c r="AE425" s="80"/>
      <c r="AF425" s="80"/>
      <c r="AG425" s="80"/>
      <c r="AH425" s="80"/>
      <c r="AI425" s="80"/>
    </row>
    <row r="426" spans="1:37" s="305" customFormat="1" ht="14.25" thickBot="1" x14ac:dyDescent="0.3">
      <c r="A426" s="650" t="s">
        <v>124</v>
      </c>
      <c r="B426" s="651"/>
      <c r="C426" s="651"/>
      <c r="D426" s="651"/>
      <c r="E426" s="144">
        <f>E417+E421</f>
        <v>0</v>
      </c>
      <c r="F426" s="144">
        <f t="shared" ref="F426:AB428" si="84">F417+F421</f>
        <v>1004</v>
      </c>
      <c r="G426" s="144">
        <f t="shared" si="84"/>
        <v>1004</v>
      </c>
      <c r="H426" s="144">
        <f t="shared" si="84"/>
        <v>0</v>
      </c>
      <c r="I426" s="144">
        <f t="shared" si="84"/>
        <v>0</v>
      </c>
      <c r="J426" s="144">
        <f t="shared" si="84"/>
        <v>0</v>
      </c>
      <c r="K426" s="144">
        <f t="shared" si="84"/>
        <v>1004</v>
      </c>
      <c r="L426" s="144">
        <f t="shared" si="84"/>
        <v>0</v>
      </c>
      <c r="M426" s="144">
        <f t="shared" si="84"/>
        <v>0</v>
      </c>
      <c r="N426" s="144">
        <f t="shared" si="84"/>
        <v>0</v>
      </c>
      <c r="O426" s="144">
        <f t="shared" si="84"/>
        <v>0</v>
      </c>
      <c r="P426" s="144">
        <f t="shared" si="84"/>
        <v>0</v>
      </c>
      <c r="Q426" s="144">
        <f t="shared" si="84"/>
        <v>0</v>
      </c>
      <c r="R426" s="144">
        <f t="shared" si="84"/>
        <v>0</v>
      </c>
      <c r="S426" s="144">
        <f t="shared" si="84"/>
        <v>0</v>
      </c>
      <c r="T426" s="144">
        <f t="shared" si="84"/>
        <v>0</v>
      </c>
      <c r="U426" s="144">
        <f t="shared" si="84"/>
        <v>0</v>
      </c>
      <c r="V426" s="144">
        <f t="shared" si="84"/>
        <v>2352</v>
      </c>
      <c r="W426" s="144">
        <f t="shared" si="84"/>
        <v>0</v>
      </c>
      <c r="X426" s="144">
        <f t="shared" si="84"/>
        <v>0</v>
      </c>
      <c r="Y426" s="144">
        <f t="shared" si="84"/>
        <v>114</v>
      </c>
      <c r="Z426" s="144">
        <f t="shared" si="84"/>
        <v>2840</v>
      </c>
      <c r="AA426" s="144">
        <f t="shared" si="84"/>
        <v>0</v>
      </c>
      <c r="AB426" s="196">
        <f t="shared" si="84"/>
        <v>6310</v>
      </c>
      <c r="AC426" s="306"/>
      <c r="AD426" s="306"/>
      <c r="AE426" s="306"/>
      <c r="AF426" s="306"/>
      <c r="AG426" s="306"/>
      <c r="AH426" s="306"/>
      <c r="AI426" s="306"/>
    </row>
    <row r="427" spans="1:37" s="311" customFormat="1" ht="14.25" thickBot="1" x14ac:dyDescent="0.3">
      <c r="A427" s="646" t="s">
        <v>185</v>
      </c>
      <c r="B427" s="647"/>
      <c r="C427" s="647"/>
      <c r="D427" s="647"/>
      <c r="E427" s="118">
        <f>E418+E422</f>
        <v>0</v>
      </c>
      <c r="F427" s="118">
        <f t="shared" si="84"/>
        <v>1004</v>
      </c>
      <c r="G427" s="118">
        <f t="shared" si="84"/>
        <v>1004</v>
      </c>
      <c r="H427" s="118">
        <f t="shared" si="84"/>
        <v>0</v>
      </c>
      <c r="I427" s="118">
        <f t="shared" si="84"/>
        <v>0</v>
      </c>
      <c r="J427" s="118">
        <f t="shared" si="84"/>
        <v>0</v>
      </c>
      <c r="K427" s="118">
        <f t="shared" si="84"/>
        <v>1004</v>
      </c>
      <c r="L427" s="118">
        <f t="shared" si="84"/>
        <v>0</v>
      </c>
      <c r="M427" s="118">
        <f t="shared" si="84"/>
        <v>0</v>
      </c>
      <c r="N427" s="118">
        <f t="shared" si="84"/>
        <v>0</v>
      </c>
      <c r="O427" s="118">
        <f t="shared" si="84"/>
        <v>0</v>
      </c>
      <c r="P427" s="118">
        <f t="shared" si="84"/>
        <v>0</v>
      </c>
      <c r="Q427" s="118">
        <f t="shared" si="84"/>
        <v>0</v>
      </c>
      <c r="R427" s="118">
        <f t="shared" si="84"/>
        <v>0</v>
      </c>
      <c r="S427" s="118">
        <f t="shared" si="84"/>
        <v>0</v>
      </c>
      <c r="T427" s="118">
        <f t="shared" si="84"/>
        <v>0</v>
      </c>
      <c r="U427" s="118">
        <f t="shared" si="84"/>
        <v>0</v>
      </c>
      <c r="V427" s="118">
        <f t="shared" si="84"/>
        <v>794</v>
      </c>
      <c r="W427" s="118">
        <f t="shared" si="84"/>
        <v>0</v>
      </c>
      <c r="X427" s="118">
        <f t="shared" si="84"/>
        <v>0</v>
      </c>
      <c r="Y427" s="118">
        <f t="shared" si="84"/>
        <v>42</v>
      </c>
      <c r="Z427" s="118">
        <f t="shared" si="84"/>
        <v>0</v>
      </c>
      <c r="AA427" s="118">
        <f t="shared" si="84"/>
        <v>0</v>
      </c>
      <c r="AB427" s="125">
        <f>F427+V427+Y427+Z427</f>
        <v>1840</v>
      </c>
      <c r="AC427" s="310"/>
      <c r="AD427" s="140"/>
      <c r="AE427" s="140"/>
      <c r="AF427" s="140"/>
      <c r="AG427" s="140"/>
      <c r="AH427" s="140"/>
      <c r="AI427" s="140"/>
      <c r="AJ427" s="140"/>
      <c r="AK427" s="140"/>
    </row>
    <row r="428" spans="1:37" s="311" customFormat="1" ht="14.25" thickBot="1" x14ac:dyDescent="0.3">
      <c r="A428" s="648" t="s">
        <v>186</v>
      </c>
      <c r="B428" s="649"/>
      <c r="C428" s="649"/>
      <c r="D428" s="649"/>
      <c r="E428" s="98">
        <f>E419+E423</f>
        <v>0</v>
      </c>
      <c r="F428" s="98">
        <f t="shared" si="84"/>
        <v>0</v>
      </c>
      <c r="G428" s="98">
        <f t="shared" si="84"/>
        <v>0</v>
      </c>
      <c r="H428" s="98">
        <f t="shared" si="84"/>
        <v>0</v>
      </c>
      <c r="I428" s="98">
        <f t="shared" si="84"/>
        <v>0</v>
      </c>
      <c r="J428" s="98">
        <f t="shared" si="84"/>
        <v>0</v>
      </c>
      <c r="K428" s="98">
        <f t="shared" si="84"/>
        <v>0</v>
      </c>
      <c r="L428" s="98">
        <f t="shared" si="84"/>
        <v>0</v>
      </c>
      <c r="M428" s="98">
        <f t="shared" si="84"/>
        <v>0</v>
      </c>
      <c r="N428" s="98">
        <f t="shared" si="84"/>
        <v>0</v>
      </c>
      <c r="O428" s="98">
        <f t="shared" si="84"/>
        <v>0</v>
      </c>
      <c r="P428" s="98">
        <f t="shared" si="84"/>
        <v>0</v>
      </c>
      <c r="Q428" s="98">
        <f t="shared" si="84"/>
        <v>0</v>
      </c>
      <c r="R428" s="98">
        <f t="shared" si="84"/>
        <v>0</v>
      </c>
      <c r="S428" s="98">
        <f t="shared" si="84"/>
        <v>0</v>
      </c>
      <c r="T428" s="98">
        <f t="shared" si="84"/>
        <v>0</v>
      </c>
      <c r="U428" s="98">
        <f t="shared" si="84"/>
        <v>0</v>
      </c>
      <c r="V428" s="98">
        <f t="shared" si="84"/>
        <v>1558</v>
      </c>
      <c r="W428" s="98">
        <f t="shared" si="84"/>
        <v>0</v>
      </c>
      <c r="X428" s="98">
        <f t="shared" si="84"/>
        <v>0</v>
      </c>
      <c r="Y428" s="98">
        <f t="shared" si="84"/>
        <v>72</v>
      </c>
      <c r="Z428" s="98">
        <f t="shared" si="84"/>
        <v>0</v>
      </c>
      <c r="AA428" s="98">
        <f t="shared" si="84"/>
        <v>0</v>
      </c>
      <c r="AB428" s="125">
        <f>F428+V428+Y428+Z428</f>
        <v>1630</v>
      </c>
      <c r="AC428" s="86"/>
      <c r="AD428" s="86"/>
      <c r="AE428" s="86"/>
      <c r="AF428" s="86"/>
      <c r="AG428" s="86"/>
      <c r="AH428" s="86"/>
      <c r="AI428" s="86"/>
      <c r="AJ428" s="86"/>
      <c r="AK428" s="86"/>
    </row>
    <row r="429" spans="1:37" s="305" customFormat="1" ht="14.25" thickBot="1" x14ac:dyDescent="0.3">
      <c r="A429" s="637" t="s">
        <v>189</v>
      </c>
      <c r="B429" s="638"/>
      <c r="C429" s="638"/>
      <c r="D429" s="638"/>
      <c r="E429" s="312">
        <f>E425-E426</f>
        <v>9161.42</v>
      </c>
      <c r="F429" s="312">
        <f t="shared" ref="F429:AB429" si="85">F425-F426</f>
        <v>121866.42000000001</v>
      </c>
      <c r="G429" s="312">
        <f t="shared" si="85"/>
        <v>26579.42</v>
      </c>
      <c r="H429" s="312">
        <f t="shared" si="85"/>
        <v>15407</v>
      </c>
      <c r="I429" s="312">
        <f t="shared" si="85"/>
        <v>55986</v>
      </c>
      <c r="J429" s="312">
        <f t="shared" si="85"/>
        <v>23894</v>
      </c>
      <c r="K429" s="312">
        <f t="shared" si="85"/>
        <v>26579.42</v>
      </c>
      <c r="L429" s="312">
        <f t="shared" si="85"/>
        <v>7703.5</v>
      </c>
      <c r="M429" s="312">
        <f t="shared" si="85"/>
        <v>27993</v>
      </c>
      <c r="N429" s="312">
        <f t="shared" si="85"/>
        <v>11947</v>
      </c>
      <c r="O429" s="312">
        <f t="shared" si="85"/>
        <v>75226.920000000013</v>
      </c>
      <c r="P429" s="312">
        <f t="shared" si="85"/>
        <v>7703.5</v>
      </c>
      <c r="Q429" s="312">
        <f t="shared" si="85"/>
        <v>27993</v>
      </c>
      <c r="R429" s="312">
        <f t="shared" si="85"/>
        <v>11947</v>
      </c>
      <c r="S429" s="312">
        <f t="shared" si="85"/>
        <v>47643.5</v>
      </c>
      <c r="T429" s="312">
        <f t="shared" si="85"/>
        <v>22212</v>
      </c>
      <c r="U429" s="312">
        <f t="shared" si="85"/>
        <v>0</v>
      </c>
      <c r="V429" s="312">
        <f t="shared" si="85"/>
        <v>19860</v>
      </c>
      <c r="W429" s="312">
        <f t="shared" si="85"/>
        <v>330541</v>
      </c>
      <c r="X429" s="312">
        <f t="shared" si="85"/>
        <v>0</v>
      </c>
      <c r="Y429" s="312">
        <f t="shared" si="85"/>
        <v>338421.58</v>
      </c>
      <c r="Z429" s="312">
        <f t="shared" si="85"/>
        <v>0</v>
      </c>
      <c r="AA429" s="312">
        <f t="shared" si="85"/>
        <v>377.5</v>
      </c>
      <c r="AB429" s="313">
        <f t="shared" si="85"/>
        <v>480148</v>
      </c>
      <c r="AC429" s="306"/>
      <c r="AD429" s="306"/>
      <c r="AE429" s="306"/>
      <c r="AF429" s="306"/>
      <c r="AG429" s="306"/>
      <c r="AH429" s="306"/>
      <c r="AI429" s="306"/>
    </row>
    <row r="430" spans="1:37" s="81" customFormat="1" ht="14.25" thickBot="1" x14ac:dyDescent="0.3">
      <c r="A430" s="642" t="s">
        <v>190</v>
      </c>
      <c r="B430" s="643"/>
      <c r="C430" s="643"/>
      <c r="D430" s="643"/>
      <c r="E430" s="287">
        <f>E191</f>
        <v>18529.250000000007</v>
      </c>
      <c r="F430" s="287">
        <f t="shared" ref="F430:AB430" si="86">F191</f>
        <v>184070.24999999997</v>
      </c>
      <c r="G430" s="287">
        <f t="shared" si="86"/>
        <v>43474.25</v>
      </c>
      <c r="H430" s="287">
        <f t="shared" si="86"/>
        <v>19091</v>
      </c>
      <c r="I430" s="287">
        <f t="shared" si="86"/>
        <v>67914</v>
      </c>
      <c r="J430" s="287">
        <f t="shared" si="86"/>
        <v>53591</v>
      </c>
      <c r="K430" s="287">
        <f t="shared" si="86"/>
        <v>43474.25</v>
      </c>
      <c r="L430" s="287">
        <f t="shared" si="86"/>
        <v>9545.5</v>
      </c>
      <c r="M430" s="287">
        <f t="shared" si="86"/>
        <v>33957</v>
      </c>
      <c r="N430" s="287">
        <f t="shared" si="86"/>
        <v>26795.5</v>
      </c>
      <c r="O430" s="287">
        <f t="shared" si="86"/>
        <v>113772.25</v>
      </c>
      <c r="P430" s="287">
        <f t="shared" si="86"/>
        <v>9545.5</v>
      </c>
      <c r="Q430" s="287">
        <f t="shared" si="86"/>
        <v>33957</v>
      </c>
      <c r="R430" s="287">
        <f t="shared" si="86"/>
        <v>26795.5</v>
      </c>
      <c r="S430" s="287">
        <f t="shared" si="86"/>
        <v>70298</v>
      </c>
      <c r="T430" s="287">
        <f t="shared" si="86"/>
        <v>21949</v>
      </c>
      <c r="U430" s="287">
        <f t="shared" si="86"/>
        <v>0</v>
      </c>
      <c r="V430" s="287">
        <f t="shared" si="86"/>
        <v>21804</v>
      </c>
      <c r="W430" s="287">
        <f t="shared" si="86"/>
        <v>468478</v>
      </c>
      <c r="X430" s="287">
        <f t="shared" si="86"/>
        <v>0</v>
      </c>
      <c r="Y430" s="287">
        <f t="shared" si="86"/>
        <v>450093.75</v>
      </c>
      <c r="Z430" s="287">
        <f t="shared" si="86"/>
        <v>10633</v>
      </c>
      <c r="AA430" s="287">
        <f t="shared" si="86"/>
        <v>585</v>
      </c>
      <c r="AB430" s="288">
        <f t="shared" si="86"/>
        <v>666601</v>
      </c>
      <c r="AC430" s="80">
        <v>0</v>
      </c>
      <c r="AD430" s="80">
        <v>25194</v>
      </c>
      <c r="AE430" s="80">
        <v>6</v>
      </c>
      <c r="AF430" s="80">
        <v>6064</v>
      </c>
      <c r="AG430" s="80">
        <v>564</v>
      </c>
      <c r="AH430" s="80">
        <v>92951</v>
      </c>
      <c r="AI430" s="80">
        <v>119</v>
      </c>
      <c r="AK430" s="81">
        <v>144914</v>
      </c>
    </row>
    <row r="431" spans="1:37" s="305" customFormat="1" ht="13.5" x14ac:dyDescent="0.25">
      <c r="A431" s="654" t="s">
        <v>124</v>
      </c>
      <c r="B431" s="655"/>
      <c r="C431" s="655"/>
      <c r="D431" s="655"/>
      <c r="E431" s="301">
        <f>E200</f>
        <v>0</v>
      </c>
      <c r="F431" s="301">
        <f t="shared" ref="F431:AB431" si="87">F200</f>
        <v>1144</v>
      </c>
      <c r="G431" s="301">
        <f t="shared" si="87"/>
        <v>1144</v>
      </c>
      <c r="H431" s="301">
        <f t="shared" si="87"/>
        <v>0</v>
      </c>
      <c r="I431" s="301">
        <f t="shared" si="87"/>
        <v>0</v>
      </c>
      <c r="J431" s="301">
        <f t="shared" si="87"/>
        <v>0</v>
      </c>
      <c r="K431" s="301">
        <f t="shared" si="87"/>
        <v>1144</v>
      </c>
      <c r="L431" s="301">
        <f t="shared" si="87"/>
        <v>0</v>
      </c>
      <c r="M431" s="301">
        <f t="shared" si="87"/>
        <v>0</v>
      </c>
      <c r="N431" s="301">
        <f t="shared" si="87"/>
        <v>0</v>
      </c>
      <c r="O431" s="301">
        <f t="shared" si="87"/>
        <v>1144</v>
      </c>
      <c r="P431" s="301">
        <f t="shared" si="87"/>
        <v>0</v>
      </c>
      <c r="Q431" s="301">
        <f t="shared" si="87"/>
        <v>0</v>
      </c>
      <c r="R431" s="301">
        <f t="shared" si="87"/>
        <v>0</v>
      </c>
      <c r="S431" s="301">
        <f t="shared" si="87"/>
        <v>0</v>
      </c>
      <c r="T431" s="301">
        <f t="shared" si="87"/>
        <v>0</v>
      </c>
      <c r="U431" s="301">
        <f t="shared" si="87"/>
        <v>0</v>
      </c>
      <c r="V431" s="301">
        <f t="shared" si="87"/>
        <v>3300</v>
      </c>
      <c r="W431" s="301">
        <f t="shared" si="87"/>
        <v>0</v>
      </c>
      <c r="X431" s="301">
        <f t="shared" si="87"/>
        <v>0</v>
      </c>
      <c r="Y431" s="301">
        <f t="shared" si="87"/>
        <v>395</v>
      </c>
      <c r="Z431" s="301">
        <f t="shared" si="87"/>
        <v>7238</v>
      </c>
      <c r="AA431" s="301">
        <f t="shared" si="87"/>
        <v>0</v>
      </c>
      <c r="AB431" s="302">
        <f t="shared" si="87"/>
        <v>12077</v>
      </c>
      <c r="AC431" s="303">
        <f t="shared" ref="AC431:AK431" si="88">AC103</f>
        <v>0</v>
      </c>
      <c r="AD431" s="304">
        <f t="shared" si="88"/>
        <v>662</v>
      </c>
      <c r="AE431" s="304">
        <f t="shared" si="88"/>
        <v>0</v>
      </c>
      <c r="AF431" s="304" t="e">
        <f t="shared" si="88"/>
        <v>#REF!</v>
      </c>
      <c r="AG431" s="304">
        <f t="shared" si="88"/>
        <v>42</v>
      </c>
      <c r="AH431" s="304" t="e">
        <f t="shared" si="88"/>
        <v>#REF!</v>
      </c>
      <c r="AI431" s="304">
        <f t="shared" si="88"/>
        <v>11</v>
      </c>
      <c r="AJ431" s="304">
        <f t="shared" si="88"/>
        <v>0</v>
      </c>
      <c r="AK431" s="304">
        <f t="shared" si="88"/>
        <v>5789</v>
      </c>
    </row>
    <row r="432" spans="1:37" s="305" customFormat="1" ht="13.5" x14ac:dyDescent="0.25">
      <c r="A432" s="646" t="s">
        <v>185</v>
      </c>
      <c r="B432" s="647"/>
      <c r="C432" s="647"/>
      <c r="D432" s="647"/>
      <c r="E432" s="304">
        <v>0</v>
      </c>
      <c r="F432" s="295">
        <v>0</v>
      </c>
      <c r="G432" s="304">
        <v>0</v>
      </c>
      <c r="H432" s="295">
        <v>0</v>
      </c>
      <c r="I432" s="304">
        <v>0</v>
      </c>
      <c r="J432" s="295">
        <v>0</v>
      </c>
      <c r="K432" s="304">
        <v>0</v>
      </c>
      <c r="L432" s="295">
        <v>0</v>
      </c>
      <c r="M432" s="304">
        <v>0</v>
      </c>
      <c r="N432" s="295">
        <v>0</v>
      </c>
      <c r="O432" s="304">
        <v>0</v>
      </c>
      <c r="P432" s="295">
        <v>0</v>
      </c>
      <c r="Q432" s="304">
        <v>0</v>
      </c>
      <c r="R432" s="295">
        <v>0</v>
      </c>
      <c r="S432" s="304">
        <v>0</v>
      </c>
      <c r="T432" s="295">
        <v>0</v>
      </c>
      <c r="U432" s="304">
        <v>0</v>
      </c>
      <c r="V432" s="295">
        <v>0</v>
      </c>
      <c r="W432" s="295"/>
      <c r="X432" s="295"/>
      <c r="Y432" s="295">
        <v>174</v>
      </c>
      <c r="Z432" s="295">
        <v>0</v>
      </c>
      <c r="AA432" s="295">
        <v>0</v>
      </c>
      <c r="AB432" s="125">
        <f>F432+V432+Y432+Z432</f>
        <v>174</v>
      </c>
      <c r="AC432" s="306"/>
      <c r="AD432" s="306"/>
      <c r="AE432" s="306"/>
      <c r="AF432" s="306"/>
      <c r="AG432" s="306"/>
      <c r="AH432" s="306"/>
      <c r="AI432" s="306"/>
    </row>
    <row r="433" spans="1:37" s="305" customFormat="1" ht="14.25" thickBot="1" x14ac:dyDescent="0.3">
      <c r="A433" s="648" t="s">
        <v>186</v>
      </c>
      <c r="B433" s="649"/>
      <c r="C433" s="649"/>
      <c r="D433" s="649"/>
      <c r="E433" s="307">
        <v>0</v>
      </c>
      <c r="F433" s="299">
        <v>1144</v>
      </c>
      <c r="G433" s="299">
        <v>1144</v>
      </c>
      <c r="H433" s="299">
        <v>0</v>
      </c>
      <c r="I433" s="299">
        <v>0</v>
      </c>
      <c r="J433" s="299">
        <v>0</v>
      </c>
      <c r="K433" s="299">
        <v>1144</v>
      </c>
      <c r="L433" s="299">
        <v>0</v>
      </c>
      <c r="M433" s="299">
        <v>0</v>
      </c>
      <c r="N433" s="299">
        <v>0</v>
      </c>
      <c r="O433" s="299">
        <v>1144</v>
      </c>
      <c r="P433" s="299">
        <v>0</v>
      </c>
      <c r="Q433" s="300">
        <v>0</v>
      </c>
      <c r="R433" s="300">
        <v>0</v>
      </c>
      <c r="S433" s="299">
        <v>0</v>
      </c>
      <c r="T433" s="299"/>
      <c r="U433" s="299"/>
      <c r="V433" s="299">
        <v>3300</v>
      </c>
      <c r="W433" s="299"/>
      <c r="X433" s="299"/>
      <c r="Y433" s="299">
        <v>221</v>
      </c>
      <c r="Z433" s="299">
        <v>0</v>
      </c>
      <c r="AA433" s="299">
        <v>0</v>
      </c>
      <c r="AB433" s="125">
        <f>F433+V433+Y433+Z433</f>
        <v>4665</v>
      </c>
      <c r="AC433" s="306"/>
      <c r="AD433" s="306"/>
      <c r="AE433" s="306"/>
      <c r="AF433" s="306"/>
      <c r="AG433" s="306"/>
      <c r="AH433" s="306"/>
      <c r="AI433" s="306"/>
    </row>
    <row r="434" spans="1:37" s="305" customFormat="1" ht="14.25" thickBot="1" x14ac:dyDescent="0.3">
      <c r="A434" s="642" t="s">
        <v>187</v>
      </c>
      <c r="B434" s="643"/>
      <c r="C434" s="643"/>
      <c r="D434" s="643"/>
      <c r="E434" s="308">
        <f>E199</f>
        <v>0</v>
      </c>
      <c r="F434" s="308">
        <f t="shared" ref="F434:AB434" si="89">F199</f>
        <v>0</v>
      </c>
      <c r="G434" s="308">
        <f t="shared" si="89"/>
        <v>0</v>
      </c>
      <c r="H434" s="308">
        <f t="shared" si="89"/>
        <v>0</v>
      </c>
      <c r="I434" s="308">
        <f t="shared" si="89"/>
        <v>0</v>
      </c>
      <c r="J434" s="308">
        <f t="shared" si="89"/>
        <v>0</v>
      </c>
      <c r="K434" s="308">
        <f t="shared" si="89"/>
        <v>0</v>
      </c>
      <c r="L434" s="308">
        <f t="shared" si="89"/>
        <v>0</v>
      </c>
      <c r="M434" s="308">
        <f t="shared" si="89"/>
        <v>0</v>
      </c>
      <c r="N434" s="308">
        <f t="shared" si="89"/>
        <v>0</v>
      </c>
      <c r="O434" s="308">
        <f t="shared" si="89"/>
        <v>0</v>
      </c>
      <c r="P434" s="308">
        <f t="shared" si="89"/>
        <v>0</v>
      </c>
      <c r="Q434" s="308">
        <f t="shared" si="89"/>
        <v>0</v>
      </c>
      <c r="R434" s="308">
        <f t="shared" si="89"/>
        <v>0</v>
      </c>
      <c r="S434" s="308">
        <f t="shared" si="89"/>
        <v>0</v>
      </c>
      <c r="T434" s="308">
        <f t="shared" si="89"/>
        <v>0</v>
      </c>
      <c r="U434" s="308">
        <f t="shared" si="89"/>
        <v>0</v>
      </c>
      <c r="V434" s="308">
        <f t="shared" si="89"/>
        <v>745</v>
      </c>
      <c r="W434" s="308">
        <f t="shared" si="89"/>
        <v>0</v>
      </c>
      <c r="X434" s="308">
        <f t="shared" si="89"/>
        <v>0</v>
      </c>
      <c r="Y434" s="308">
        <f t="shared" si="89"/>
        <v>79942</v>
      </c>
      <c r="Z434" s="308">
        <f t="shared" si="89"/>
        <v>0</v>
      </c>
      <c r="AA434" s="308">
        <f t="shared" si="89"/>
        <v>0</v>
      </c>
      <c r="AB434" s="309">
        <f t="shared" si="89"/>
        <v>80687</v>
      </c>
      <c r="AC434" s="306"/>
      <c r="AD434" s="306"/>
      <c r="AE434" s="306"/>
      <c r="AF434" s="306"/>
      <c r="AG434" s="306"/>
      <c r="AH434" s="306"/>
      <c r="AI434" s="306"/>
    </row>
    <row r="435" spans="1:37" s="81" customFormat="1" ht="13.5" x14ac:dyDescent="0.25">
      <c r="A435" s="633" t="s">
        <v>191</v>
      </c>
      <c r="B435" s="634"/>
      <c r="C435" s="634"/>
      <c r="D435" s="634"/>
      <c r="E435" s="191">
        <f>E430+E434</f>
        <v>18529.250000000007</v>
      </c>
      <c r="F435" s="191">
        <f t="shared" ref="F435:AB435" si="90">F430+F434</f>
        <v>184070.24999999997</v>
      </c>
      <c r="G435" s="191">
        <f t="shared" si="90"/>
        <v>43474.25</v>
      </c>
      <c r="H435" s="191">
        <f t="shared" si="90"/>
        <v>19091</v>
      </c>
      <c r="I435" s="191">
        <f t="shared" si="90"/>
        <v>67914</v>
      </c>
      <c r="J435" s="191">
        <f t="shared" si="90"/>
        <v>53591</v>
      </c>
      <c r="K435" s="191">
        <f t="shared" si="90"/>
        <v>43474.25</v>
      </c>
      <c r="L435" s="191">
        <f t="shared" si="90"/>
        <v>9545.5</v>
      </c>
      <c r="M435" s="191">
        <f t="shared" si="90"/>
        <v>33957</v>
      </c>
      <c r="N435" s="191">
        <f t="shared" si="90"/>
        <v>26795.5</v>
      </c>
      <c r="O435" s="191">
        <f t="shared" si="90"/>
        <v>113772.25</v>
      </c>
      <c r="P435" s="191">
        <f t="shared" si="90"/>
        <v>9545.5</v>
      </c>
      <c r="Q435" s="191">
        <f t="shared" si="90"/>
        <v>33957</v>
      </c>
      <c r="R435" s="191">
        <f t="shared" si="90"/>
        <v>26795.5</v>
      </c>
      <c r="S435" s="191">
        <f t="shared" si="90"/>
        <v>70298</v>
      </c>
      <c r="T435" s="191">
        <f t="shared" si="90"/>
        <v>21949</v>
      </c>
      <c r="U435" s="191">
        <f t="shared" si="90"/>
        <v>0</v>
      </c>
      <c r="V435" s="191">
        <f t="shared" si="90"/>
        <v>22549</v>
      </c>
      <c r="W435" s="191">
        <f t="shared" si="90"/>
        <v>468478</v>
      </c>
      <c r="X435" s="191">
        <f t="shared" si="90"/>
        <v>0</v>
      </c>
      <c r="Y435" s="191">
        <f t="shared" si="90"/>
        <v>530035.75</v>
      </c>
      <c r="Z435" s="191">
        <f t="shared" si="90"/>
        <v>10633</v>
      </c>
      <c r="AA435" s="191">
        <f t="shared" si="90"/>
        <v>585</v>
      </c>
      <c r="AB435" s="193">
        <f t="shared" si="90"/>
        <v>747288</v>
      </c>
      <c r="AC435" s="80"/>
      <c r="AD435" s="80"/>
      <c r="AE435" s="80"/>
      <c r="AF435" s="80"/>
      <c r="AG435" s="80"/>
      <c r="AH435" s="80"/>
      <c r="AI435" s="80"/>
    </row>
    <row r="436" spans="1:37" s="305" customFormat="1" ht="14.25" thickBot="1" x14ac:dyDescent="0.3">
      <c r="A436" s="650" t="s">
        <v>124</v>
      </c>
      <c r="B436" s="651"/>
      <c r="C436" s="651"/>
      <c r="D436" s="651"/>
      <c r="E436" s="144">
        <f>E431</f>
        <v>0</v>
      </c>
      <c r="F436" s="144">
        <f t="shared" ref="F436:AB436" si="91">F431</f>
        <v>1144</v>
      </c>
      <c r="G436" s="144">
        <f t="shared" si="91"/>
        <v>1144</v>
      </c>
      <c r="H436" s="144">
        <f t="shared" si="91"/>
        <v>0</v>
      </c>
      <c r="I436" s="144">
        <f t="shared" si="91"/>
        <v>0</v>
      </c>
      <c r="J436" s="144">
        <f t="shared" si="91"/>
        <v>0</v>
      </c>
      <c r="K436" s="144">
        <f t="shared" si="91"/>
        <v>1144</v>
      </c>
      <c r="L436" s="144">
        <f t="shared" si="91"/>
        <v>0</v>
      </c>
      <c r="M436" s="144">
        <f t="shared" si="91"/>
        <v>0</v>
      </c>
      <c r="N436" s="144">
        <f t="shared" si="91"/>
        <v>0</v>
      </c>
      <c r="O436" s="144">
        <f t="shared" si="91"/>
        <v>1144</v>
      </c>
      <c r="P436" s="144">
        <f t="shared" si="91"/>
        <v>0</v>
      </c>
      <c r="Q436" s="144">
        <f t="shared" si="91"/>
        <v>0</v>
      </c>
      <c r="R436" s="144">
        <f t="shared" si="91"/>
        <v>0</v>
      </c>
      <c r="S436" s="144">
        <f t="shared" si="91"/>
        <v>0</v>
      </c>
      <c r="T436" s="144">
        <f t="shared" si="91"/>
        <v>0</v>
      </c>
      <c r="U436" s="144">
        <f t="shared" si="91"/>
        <v>0</v>
      </c>
      <c r="V436" s="144">
        <f t="shared" si="91"/>
        <v>3300</v>
      </c>
      <c r="W436" s="144">
        <f t="shared" si="91"/>
        <v>0</v>
      </c>
      <c r="X436" s="144">
        <f t="shared" si="91"/>
        <v>0</v>
      </c>
      <c r="Y436" s="144">
        <f t="shared" si="91"/>
        <v>395</v>
      </c>
      <c r="Z436" s="144">
        <f t="shared" si="91"/>
        <v>7238</v>
      </c>
      <c r="AA436" s="144">
        <f t="shared" si="91"/>
        <v>0</v>
      </c>
      <c r="AB436" s="196">
        <f t="shared" si="91"/>
        <v>12077</v>
      </c>
      <c r="AC436" s="306"/>
      <c r="AD436" s="306"/>
      <c r="AE436" s="306"/>
      <c r="AF436" s="306"/>
      <c r="AG436" s="306"/>
      <c r="AH436" s="306"/>
      <c r="AI436" s="306"/>
    </row>
    <row r="437" spans="1:37" s="305" customFormat="1" ht="14.25" thickBot="1" x14ac:dyDescent="0.3">
      <c r="A437" s="637" t="s">
        <v>192</v>
      </c>
      <c r="B437" s="638"/>
      <c r="C437" s="638"/>
      <c r="D437" s="638"/>
      <c r="E437" s="312">
        <f>E435-E436</f>
        <v>18529.250000000007</v>
      </c>
      <c r="F437" s="312">
        <f t="shared" ref="F437:AB437" si="92">F435-F436</f>
        <v>182926.24999999997</v>
      </c>
      <c r="G437" s="312">
        <f t="shared" si="92"/>
        <v>42330.25</v>
      </c>
      <c r="H437" s="312">
        <f t="shared" si="92"/>
        <v>19091</v>
      </c>
      <c r="I437" s="312">
        <f t="shared" si="92"/>
        <v>67914</v>
      </c>
      <c r="J437" s="312">
        <f t="shared" si="92"/>
        <v>53591</v>
      </c>
      <c r="K437" s="312">
        <f t="shared" si="92"/>
        <v>42330.25</v>
      </c>
      <c r="L437" s="312">
        <f t="shared" si="92"/>
        <v>9545.5</v>
      </c>
      <c r="M437" s="312">
        <f t="shared" si="92"/>
        <v>33957</v>
      </c>
      <c r="N437" s="312">
        <f t="shared" si="92"/>
        <v>26795.5</v>
      </c>
      <c r="O437" s="312">
        <f t="shared" si="92"/>
        <v>112628.25</v>
      </c>
      <c r="P437" s="312">
        <f t="shared" si="92"/>
        <v>9545.5</v>
      </c>
      <c r="Q437" s="312">
        <f t="shared" si="92"/>
        <v>33957</v>
      </c>
      <c r="R437" s="312">
        <f t="shared" si="92"/>
        <v>26795.5</v>
      </c>
      <c r="S437" s="312">
        <f t="shared" si="92"/>
        <v>70298</v>
      </c>
      <c r="T437" s="312">
        <f t="shared" si="92"/>
        <v>21949</v>
      </c>
      <c r="U437" s="312">
        <f t="shared" si="92"/>
        <v>0</v>
      </c>
      <c r="V437" s="312">
        <f t="shared" si="92"/>
        <v>19249</v>
      </c>
      <c r="W437" s="312">
        <f t="shared" si="92"/>
        <v>468478</v>
      </c>
      <c r="X437" s="312">
        <f t="shared" si="92"/>
        <v>0</v>
      </c>
      <c r="Y437" s="312">
        <f t="shared" si="92"/>
        <v>529640.75</v>
      </c>
      <c r="Z437" s="312">
        <f t="shared" si="92"/>
        <v>3395</v>
      </c>
      <c r="AA437" s="312">
        <f t="shared" si="92"/>
        <v>585</v>
      </c>
      <c r="AB437" s="313">
        <f t="shared" si="92"/>
        <v>735211</v>
      </c>
      <c r="AC437" s="306"/>
      <c r="AD437" s="306"/>
      <c r="AE437" s="306"/>
      <c r="AF437" s="306"/>
      <c r="AG437" s="306"/>
      <c r="AH437" s="306"/>
      <c r="AI437" s="306"/>
    </row>
    <row r="438" spans="1:37" s="81" customFormat="1" ht="14.25" thickBot="1" x14ac:dyDescent="0.3">
      <c r="A438" s="642" t="s">
        <v>162</v>
      </c>
      <c r="B438" s="643"/>
      <c r="C438" s="643"/>
      <c r="D438" s="643"/>
      <c r="E438" s="287">
        <f>E286</f>
        <v>9248.66</v>
      </c>
      <c r="F438" s="287">
        <f t="shared" ref="F438:AB438" si="93">F286</f>
        <v>125878.66</v>
      </c>
      <c r="G438" s="287">
        <f t="shared" si="93"/>
        <v>38900.659999999989</v>
      </c>
      <c r="H438" s="287">
        <f t="shared" si="93"/>
        <v>16522</v>
      </c>
      <c r="I438" s="287">
        <f t="shared" si="93"/>
        <v>30365</v>
      </c>
      <c r="J438" s="287">
        <f t="shared" si="93"/>
        <v>40091</v>
      </c>
      <c r="K438" s="287">
        <f t="shared" si="93"/>
        <v>38900.659999999989</v>
      </c>
      <c r="L438" s="287">
        <f t="shared" si="93"/>
        <v>8261.5</v>
      </c>
      <c r="M438" s="287">
        <f t="shared" si="93"/>
        <v>15183</v>
      </c>
      <c r="N438" s="287">
        <f t="shared" si="93"/>
        <v>20045.5</v>
      </c>
      <c r="O438" s="287">
        <f t="shared" si="93"/>
        <v>82390.66</v>
      </c>
      <c r="P438" s="287">
        <f t="shared" si="93"/>
        <v>8261.5</v>
      </c>
      <c r="Q438" s="287">
        <f t="shared" si="93"/>
        <v>15183</v>
      </c>
      <c r="R438" s="287">
        <f t="shared" si="93"/>
        <v>20045.5</v>
      </c>
      <c r="S438" s="287">
        <f t="shared" si="93"/>
        <v>43490</v>
      </c>
      <c r="T438" s="287">
        <f t="shared" si="93"/>
        <v>0</v>
      </c>
      <c r="U438" s="287">
        <f t="shared" si="93"/>
        <v>0</v>
      </c>
      <c r="V438" s="287">
        <f t="shared" si="93"/>
        <v>14983</v>
      </c>
      <c r="W438" s="287" t="e">
        <f t="shared" si="93"/>
        <v>#REF!</v>
      </c>
      <c r="X438" s="287">
        <f t="shared" si="93"/>
        <v>5522</v>
      </c>
      <c r="Y438" s="287">
        <f t="shared" si="93"/>
        <v>334753.34000000003</v>
      </c>
      <c r="Z438" s="287">
        <f t="shared" si="93"/>
        <v>17198</v>
      </c>
      <c r="AA438" s="287">
        <f t="shared" si="93"/>
        <v>469</v>
      </c>
      <c r="AB438" s="288">
        <f t="shared" si="93"/>
        <v>492813</v>
      </c>
      <c r="AC438" s="117">
        <v>60</v>
      </c>
      <c r="AD438" s="76">
        <v>80512</v>
      </c>
      <c r="AE438" s="76">
        <v>18</v>
      </c>
      <c r="AF438" s="76">
        <v>13416</v>
      </c>
      <c r="AG438" s="76">
        <v>2359</v>
      </c>
      <c r="AH438" s="76">
        <v>330997</v>
      </c>
      <c r="AI438" s="76">
        <v>469</v>
      </c>
      <c r="AJ438" s="110"/>
      <c r="AK438" s="110">
        <v>482754</v>
      </c>
    </row>
    <row r="439" spans="1:37" s="316" customFormat="1" ht="13.5" x14ac:dyDescent="0.25">
      <c r="A439" s="652" t="s">
        <v>124</v>
      </c>
      <c r="B439" s="653"/>
      <c r="C439" s="653"/>
      <c r="D439" s="653"/>
      <c r="E439" s="289">
        <f>E293</f>
        <v>0</v>
      </c>
      <c r="F439" s="289">
        <f t="shared" ref="F439:AB439" si="94">F293</f>
        <v>454</v>
      </c>
      <c r="G439" s="289">
        <f t="shared" si="94"/>
        <v>87</v>
      </c>
      <c r="H439" s="289">
        <f t="shared" si="94"/>
        <v>83</v>
      </c>
      <c r="I439" s="289">
        <f t="shared" si="94"/>
        <v>284</v>
      </c>
      <c r="J439" s="289">
        <f t="shared" si="94"/>
        <v>0</v>
      </c>
      <c r="K439" s="289">
        <f t="shared" si="94"/>
        <v>87</v>
      </c>
      <c r="L439" s="289">
        <f t="shared" si="94"/>
        <v>41.5</v>
      </c>
      <c r="M439" s="289">
        <f t="shared" si="94"/>
        <v>142</v>
      </c>
      <c r="N439" s="289">
        <f t="shared" si="94"/>
        <v>0</v>
      </c>
      <c r="O439" s="289">
        <f t="shared" si="94"/>
        <v>270.5</v>
      </c>
      <c r="P439" s="289">
        <f t="shared" si="94"/>
        <v>41.5</v>
      </c>
      <c r="Q439" s="289">
        <f t="shared" si="94"/>
        <v>142</v>
      </c>
      <c r="R439" s="289">
        <f t="shared" si="94"/>
        <v>0</v>
      </c>
      <c r="S439" s="289">
        <f t="shared" si="94"/>
        <v>183.5</v>
      </c>
      <c r="T439" s="289">
        <f t="shared" si="94"/>
        <v>0</v>
      </c>
      <c r="U439" s="289">
        <f t="shared" si="94"/>
        <v>0</v>
      </c>
      <c r="V439" s="289">
        <f t="shared" si="94"/>
        <v>1328</v>
      </c>
      <c r="W439" s="289">
        <f t="shared" si="94"/>
        <v>0</v>
      </c>
      <c r="X439" s="289">
        <f t="shared" si="94"/>
        <v>0</v>
      </c>
      <c r="Y439" s="289">
        <f t="shared" si="94"/>
        <v>2245</v>
      </c>
      <c r="Z439" s="289">
        <f t="shared" si="94"/>
        <v>17198</v>
      </c>
      <c r="AA439" s="289">
        <f t="shared" si="94"/>
        <v>0</v>
      </c>
      <c r="AB439" s="290">
        <f t="shared" si="94"/>
        <v>21225</v>
      </c>
      <c r="AC439" s="314"/>
      <c r="AD439" s="315"/>
      <c r="AE439" s="315"/>
      <c r="AF439" s="315"/>
      <c r="AG439" s="315"/>
      <c r="AH439" s="315"/>
      <c r="AI439" s="315"/>
      <c r="AJ439" s="298"/>
      <c r="AK439" s="298"/>
    </row>
    <row r="440" spans="1:37" s="316" customFormat="1" ht="13.5" x14ac:dyDescent="0.25">
      <c r="A440" s="646" t="s">
        <v>185</v>
      </c>
      <c r="B440" s="647"/>
      <c r="C440" s="647"/>
      <c r="D440" s="647"/>
      <c r="E440" s="295">
        <v>0</v>
      </c>
      <c r="F440" s="295">
        <v>0</v>
      </c>
      <c r="G440" s="295">
        <v>0</v>
      </c>
      <c r="H440" s="295">
        <v>0</v>
      </c>
      <c r="I440" s="295">
        <v>0</v>
      </c>
      <c r="J440" s="295">
        <v>0</v>
      </c>
      <c r="K440" s="295">
        <v>0</v>
      </c>
      <c r="L440" s="295">
        <v>0</v>
      </c>
      <c r="M440" s="295">
        <f>I440/2</f>
        <v>0</v>
      </c>
      <c r="N440" s="295">
        <v>0</v>
      </c>
      <c r="O440" s="295">
        <v>0</v>
      </c>
      <c r="P440" s="295">
        <v>0</v>
      </c>
      <c r="Q440" s="296">
        <v>0</v>
      </c>
      <c r="R440" s="296">
        <v>0</v>
      </c>
      <c r="S440" s="295">
        <v>0</v>
      </c>
      <c r="T440" s="295"/>
      <c r="U440" s="295"/>
      <c r="V440" s="295">
        <v>6</v>
      </c>
      <c r="W440" s="295"/>
      <c r="X440" s="295"/>
      <c r="Y440" s="295">
        <v>426</v>
      </c>
      <c r="Z440" s="295">
        <v>0</v>
      </c>
      <c r="AA440" s="295">
        <v>0</v>
      </c>
      <c r="AB440" s="317">
        <f>F440+V440+Y440+Z440</f>
        <v>432</v>
      </c>
      <c r="AC440" s="314"/>
      <c r="AD440" s="315"/>
      <c r="AE440" s="315"/>
      <c r="AF440" s="315"/>
      <c r="AG440" s="315"/>
      <c r="AH440" s="315"/>
      <c r="AI440" s="315"/>
      <c r="AJ440" s="298"/>
      <c r="AK440" s="298"/>
    </row>
    <row r="441" spans="1:37" s="316" customFormat="1" ht="13.5" x14ac:dyDescent="0.25">
      <c r="A441" s="646" t="s">
        <v>193</v>
      </c>
      <c r="B441" s="647"/>
      <c r="C441" s="647"/>
      <c r="D441" s="647"/>
      <c r="E441" s="295">
        <v>0</v>
      </c>
      <c r="F441" s="295">
        <f>G441+H441+I441+J441</f>
        <v>454</v>
      </c>
      <c r="G441" s="295">
        <v>87</v>
      </c>
      <c r="H441" s="295">
        <v>83</v>
      </c>
      <c r="I441" s="295">
        <v>284</v>
      </c>
      <c r="J441" s="295">
        <v>0</v>
      </c>
      <c r="K441" s="295">
        <f>G441</f>
        <v>87</v>
      </c>
      <c r="L441" s="295">
        <f>H441/2</f>
        <v>41.5</v>
      </c>
      <c r="M441" s="295">
        <f>I441/2</f>
        <v>142</v>
      </c>
      <c r="N441" s="295">
        <f>J441/2</f>
        <v>0</v>
      </c>
      <c r="O441" s="295">
        <f>SUM(K441:N441)</f>
        <v>270.5</v>
      </c>
      <c r="P441" s="295">
        <f>H441/2</f>
        <v>41.5</v>
      </c>
      <c r="Q441" s="296">
        <f>I441/2</f>
        <v>142</v>
      </c>
      <c r="R441" s="296">
        <f>J441/2</f>
        <v>0</v>
      </c>
      <c r="S441" s="295">
        <f>SUM(P441:R441)</f>
        <v>183.5</v>
      </c>
      <c r="T441" s="295"/>
      <c r="U441" s="295"/>
      <c r="V441" s="295">
        <v>0</v>
      </c>
      <c r="W441" s="295"/>
      <c r="X441" s="295"/>
      <c r="Y441" s="295">
        <v>1819</v>
      </c>
      <c r="Z441" s="295">
        <v>0</v>
      </c>
      <c r="AA441" s="295">
        <v>0</v>
      </c>
      <c r="AB441" s="317">
        <f>F441+V441+Y441+Z441</f>
        <v>2273</v>
      </c>
      <c r="AC441" s="314"/>
      <c r="AD441" s="315"/>
      <c r="AE441" s="315"/>
      <c r="AF441" s="315"/>
      <c r="AG441" s="315"/>
      <c r="AH441" s="315"/>
      <c r="AI441" s="315"/>
      <c r="AJ441" s="298"/>
      <c r="AK441" s="298"/>
    </row>
    <row r="442" spans="1:37" s="316" customFormat="1" ht="14.25" thickBot="1" x14ac:dyDescent="0.3">
      <c r="A442" s="648" t="s">
        <v>186</v>
      </c>
      <c r="B442" s="649"/>
      <c r="C442" s="649"/>
      <c r="D442" s="649"/>
      <c r="E442" s="299">
        <v>0</v>
      </c>
      <c r="F442" s="299">
        <v>0</v>
      </c>
      <c r="G442" s="299">
        <v>0</v>
      </c>
      <c r="H442" s="299">
        <v>0</v>
      </c>
      <c r="I442" s="299">
        <v>0</v>
      </c>
      <c r="J442" s="299">
        <v>0</v>
      </c>
      <c r="K442" s="299">
        <v>0</v>
      </c>
      <c r="L442" s="299">
        <v>0</v>
      </c>
      <c r="M442" s="299">
        <v>0</v>
      </c>
      <c r="N442" s="299">
        <v>0</v>
      </c>
      <c r="O442" s="299">
        <v>0</v>
      </c>
      <c r="P442" s="299">
        <v>0</v>
      </c>
      <c r="Q442" s="299">
        <v>0</v>
      </c>
      <c r="R442" s="299">
        <v>0</v>
      </c>
      <c r="S442" s="299">
        <v>0</v>
      </c>
      <c r="T442" s="299"/>
      <c r="U442" s="299"/>
      <c r="V442" s="299">
        <v>1322</v>
      </c>
      <c r="W442" s="299"/>
      <c r="X442" s="299"/>
      <c r="Y442" s="299">
        <v>0</v>
      </c>
      <c r="Z442" s="299">
        <v>0</v>
      </c>
      <c r="AA442" s="299">
        <v>0</v>
      </c>
      <c r="AB442" s="297">
        <f>F442+V442+Y442+Z442</f>
        <v>1322</v>
      </c>
      <c r="AC442" s="314"/>
      <c r="AD442" s="315"/>
      <c r="AE442" s="315"/>
      <c r="AF442" s="315"/>
      <c r="AG442" s="315"/>
      <c r="AH442" s="315"/>
      <c r="AI442" s="315"/>
      <c r="AJ442" s="298"/>
      <c r="AK442" s="298"/>
    </row>
    <row r="443" spans="1:37" s="305" customFormat="1" ht="14.25" thickBot="1" x14ac:dyDescent="0.3">
      <c r="A443" s="642" t="s">
        <v>187</v>
      </c>
      <c r="B443" s="643"/>
      <c r="C443" s="643"/>
      <c r="D443" s="643"/>
      <c r="E443" s="308">
        <f>E292</f>
        <v>0</v>
      </c>
      <c r="F443" s="308">
        <f t="shared" ref="F443:AB443" si="95">F292</f>
        <v>0</v>
      </c>
      <c r="G443" s="308">
        <f t="shared" si="95"/>
        <v>0</v>
      </c>
      <c r="H443" s="308">
        <f t="shared" si="95"/>
        <v>0</v>
      </c>
      <c r="I443" s="308">
        <f t="shared" si="95"/>
        <v>0</v>
      </c>
      <c r="J443" s="308">
        <f t="shared" si="95"/>
        <v>0</v>
      </c>
      <c r="K443" s="308">
        <f t="shared" si="95"/>
        <v>0</v>
      </c>
      <c r="L443" s="308">
        <f t="shared" si="95"/>
        <v>0</v>
      </c>
      <c r="M443" s="308">
        <f t="shared" si="95"/>
        <v>0</v>
      </c>
      <c r="N443" s="308">
        <f t="shared" si="95"/>
        <v>0</v>
      </c>
      <c r="O443" s="308">
        <f t="shared" si="95"/>
        <v>0</v>
      </c>
      <c r="P443" s="308">
        <f t="shared" si="95"/>
        <v>0</v>
      </c>
      <c r="Q443" s="308">
        <f t="shared" si="95"/>
        <v>0</v>
      </c>
      <c r="R443" s="308">
        <f t="shared" si="95"/>
        <v>0</v>
      </c>
      <c r="S443" s="308">
        <f t="shared" si="95"/>
        <v>0</v>
      </c>
      <c r="T443" s="308">
        <f t="shared" si="95"/>
        <v>0</v>
      </c>
      <c r="U443" s="308">
        <f t="shared" si="95"/>
        <v>0</v>
      </c>
      <c r="V443" s="308">
        <f t="shared" si="95"/>
        <v>0</v>
      </c>
      <c r="W443" s="308">
        <f t="shared" si="95"/>
        <v>0</v>
      </c>
      <c r="X443" s="308">
        <f t="shared" si="95"/>
        <v>0</v>
      </c>
      <c r="Y443" s="308">
        <f t="shared" si="95"/>
        <v>31472</v>
      </c>
      <c r="Z443" s="308">
        <f t="shared" si="95"/>
        <v>0</v>
      </c>
      <c r="AA443" s="308">
        <f t="shared" si="95"/>
        <v>0</v>
      </c>
      <c r="AB443" s="309">
        <f t="shared" si="95"/>
        <v>31472</v>
      </c>
      <c r="AC443" s="306"/>
      <c r="AD443" s="306"/>
      <c r="AE443" s="306"/>
      <c r="AF443" s="306"/>
      <c r="AG443" s="306"/>
      <c r="AH443" s="306"/>
      <c r="AI443" s="306"/>
    </row>
    <row r="444" spans="1:37" s="81" customFormat="1" ht="13.5" x14ac:dyDescent="0.25">
      <c r="A444" s="633" t="s">
        <v>194</v>
      </c>
      <c r="B444" s="634"/>
      <c r="C444" s="634"/>
      <c r="D444" s="634"/>
      <c r="E444" s="191">
        <f>E438+E443</f>
        <v>9248.66</v>
      </c>
      <c r="F444" s="191">
        <f t="shared" ref="F444:AB444" si="96">F438+F443</f>
        <v>125878.66</v>
      </c>
      <c r="G444" s="191">
        <f t="shared" si="96"/>
        <v>38900.659999999989</v>
      </c>
      <c r="H444" s="191">
        <f t="shared" si="96"/>
        <v>16522</v>
      </c>
      <c r="I444" s="191">
        <f t="shared" si="96"/>
        <v>30365</v>
      </c>
      <c r="J444" s="191">
        <f t="shared" si="96"/>
        <v>40091</v>
      </c>
      <c r="K444" s="191">
        <f t="shared" si="96"/>
        <v>38900.659999999989</v>
      </c>
      <c r="L444" s="191">
        <f t="shared" si="96"/>
        <v>8261.5</v>
      </c>
      <c r="M444" s="191">
        <f t="shared" si="96"/>
        <v>15183</v>
      </c>
      <c r="N444" s="191">
        <f t="shared" si="96"/>
        <v>20045.5</v>
      </c>
      <c r="O444" s="191">
        <f t="shared" si="96"/>
        <v>82390.66</v>
      </c>
      <c r="P444" s="191">
        <f t="shared" si="96"/>
        <v>8261.5</v>
      </c>
      <c r="Q444" s="191">
        <f t="shared" si="96"/>
        <v>15183</v>
      </c>
      <c r="R444" s="191">
        <f t="shared" si="96"/>
        <v>20045.5</v>
      </c>
      <c r="S444" s="191">
        <f t="shared" si="96"/>
        <v>43490</v>
      </c>
      <c r="T444" s="191">
        <f t="shared" si="96"/>
        <v>0</v>
      </c>
      <c r="U444" s="191">
        <f t="shared" si="96"/>
        <v>0</v>
      </c>
      <c r="V444" s="191">
        <f t="shared" si="96"/>
        <v>14983</v>
      </c>
      <c r="W444" s="191" t="e">
        <f t="shared" si="96"/>
        <v>#REF!</v>
      </c>
      <c r="X444" s="191">
        <f t="shared" si="96"/>
        <v>5522</v>
      </c>
      <c r="Y444" s="191">
        <f t="shared" si="96"/>
        <v>366225.34</v>
      </c>
      <c r="Z444" s="191">
        <f t="shared" si="96"/>
        <v>17198</v>
      </c>
      <c r="AA444" s="191">
        <f t="shared" si="96"/>
        <v>469</v>
      </c>
      <c r="AB444" s="193">
        <f t="shared" si="96"/>
        <v>524285</v>
      </c>
      <c r="AC444" s="80"/>
      <c r="AD444" s="80"/>
      <c r="AE444" s="80"/>
      <c r="AF444" s="80"/>
      <c r="AG444" s="80"/>
      <c r="AH444" s="80"/>
      <c r="AI444" s="80"/>
    </row>
    <row r="445" spans="1:37" s="305" customFormat="1" ht="14.25" thickBot="1" x14ac:dyDescent="0.3">
      <c r="A445" s="650" t="s">
        <v>124</v>
      </c>
      <c r="B445" s="651"/>
      <c r="C445" s="651"/>
      <c r="D445" s="651"/>
      <c r="E445" s="144">
        <f>E439</f>
        <v>0</v>
      </c>
      <c r="F445" s="144">
        <f t="shared" ref="F445:AK445" si="97">F439</f>
        <v>454</v>
      </c>
      <c r="G445" s="144">
        <f t="shared" si="97"/>
        <v>87</v>
      </c>
      <c r="H445" s="144">
        <f t="shared" si="97"/>
        <v>83</v>
      </c>
      <c r="I445" s="144">
        <f t="shared" si="97"/>
        <v>284</v>
      </c>
      <c r="J445" s="144">
        <f t="shared" si="97"/>
        <v>0</v>
      </c>
      <c r="K445" s="144">
        <f t="shared" si="97"/>
        <v>87</v>
      </c>
      <c r="L445" s="144">
        <f t="shared" si="97"/>
        <v>41.5</v>
      </c>
      <c r="M445" s="144">
        <f t="shared" si="97"/>
        <v>142</v>
      </c>
      <c r="N445" s="144">
        <f t="shared" si="97"/>
        <v>0</v>
      </c>
      <c r="O445" s="144">
        <f t="shared" si="97"/>
        <v>270.5</v>
      </c>
      <c r="P445" s="144">
        <f t="shared" si="97"/>
        <v>41.5</v>
      </c>
      <c r="Q445" s="144">
        <f t="shared" si="97"/>
        <v>142</v>
      </c>
      <c r="R445" s="144">
        <f t="shared" si="97"/>
        <v>0</v>
      </c>
      <c r="S445" s="144">
        <f t="shared" si="97"/>
        <v>183.5</v>
      </c>
      <c r="T445" s="144">
        <f t="shared" si="97"/>
        <v>0</v>
      </c>
      <c r="U445" s="144">
        <f t="shared" si="97"/>
        <v>0</v>
      </c>
      <c r="V445" s="144">
        <f t="shared" si="97"/>
        <v>1328</v>
      </c>
      <c r="W445" s="144">
        <f t="shared" si="97"/>
        <v>0</v>
      </c>
      <c r="X445" s="144">
        <f t="shared" si="97"/>
        <v>0</v>
      </c>
      <c r="Y445" s="144">
        <f t="shared" si="97"/>
        <v>2245</v>
      </c>
      <c r="Z445" s="144">
        <f t="shared" si="97"/>
        <v>17198</v>
      </c>
      <c r="AA445" s="144">
        <f t="shared" si="97"/>
        <v>0</v>
      </c>
      <c r="AB445" s="196">
        <f t="shared" si="97"/>
        <v>21225</v>
      </c>
      <c r="AC445" s="318">
        <f t="shared" si="97"/>
        <v>0</v>
      </c>
      <c r="AD445" s="168">
        <f t="shared" si="97"/>
        <v>0</v>
      </c>
      <c r="AE445" s="168">
        <f t="shared" si="97"/>
        <v>0</v>
      </c>
      <c r="AF445" s="168">
        <f t="shared" si="97"/>
        <v>0</v>
      </c>
      <c r="AG445" s="168">
        <f t="shared" si="97"/>
        <v>0</v>
      </c>
      <c r="AH445" s="168">
        <f t="shared" si="97"/>
        <v>0</v>
      </c>
      <c r="AI445" s="168">
        <f t="shared" si="97"/>
        <v>0</v>
      </c>
      <c r="AJ445" s="168">
        <f t="shared" si="97"/>
        <v>0</v>
      </c>
      <c r="AK445" s="168">
        <f t="shared" si="97"/>
        <v>0</v>
      </c>
    </row>
    <row r="446" spans="1:37" s="305" customFormat="1" ht="14.25" thickBot="1" x14ac:dyDescent="0.3">
      <c r="A446" s="637" t="s">
        <v>195</v>
      </c>
      <c r="B446" s="638"/>
      <c r="C446" s="638"/>
      <c r="D446" s="638"/>
      <c r="E446" s="312">
        <f>E444-E445</f>
        <v>9248.66</v>
      </c>
      <c r="F446" s="312">
        <f t="shared" ref="F446:AB446" si="98">F444-F445</f>
        <v>125424.66</v>
      </c>
      <c r="G446" s="312">
        <f t="shared" si="98"/>
        <v>38813.659999999989</v>
      </c>
      <c r="H446" s="312">
        <f t="shared" si="98"/>
        <v>16439</v>
      </c>
      <c r="I446" s="312">
        <f t="shared" si="98"/>
        <v>30081</v>
      </c>
      <c r="J446" s="312">
        <f t="shared" si="98"/>
        <v>40091</v>
      </c>
      <c r="K446" s="312">
        <f t="shared" si="98"/>
        <v>38813.659999999989</v>
      </c>
      <c r="L446" s="312">
        <f t="shared" si="98"/>
        <v>8220</v>
      </c>
      <c r="M446" s="312">
        <f t="shared" si="98"/>
        <v>15041</v>
      </c>
      <c r="N446" s="312">
        <f t="shared" si="98"/>
        <v>20045.5</v>
      </c>
      <c r="O446" s="312">
        <f t="shared" si="98"/>
        <v>82120.160000000003</v>
      </c>
      <c r="P446" s="312">
        <f t="shared" si="98"/>
        <v>8220</v>
      </c>
      <c r="Q446" s="312">
        <f t="shared" si="98"/>
        <v>15041</v>
      </c>
      <c r="R446" s="312">
        <f t="shared" si="98"/>
        <v>20045.5</v>
      </c>
      <c r="S446" s="312">
        <f t="shared" si="98"/>
        <v>43306.5</v>
      </c>
      <c r="T446" s="312">
        <f t="shared" si="98"/>
        <v>0</v>
      </c>
      <c r="U446" s="312">
        <f t="shared" si="98"/>
        <v>0</v>
      </c>
      <c r="V446" s="312">
        <f t="shared" si="98"/>
        <v>13655</v>
      </c>
      <c r="W446" s="312" t="e">
        <f t="shared" si="98"/>
        <v>#REF!</v>
      </c>
      <c r="X446" s="312">
        <f t="shared" si="98"/>
        <v>5522</v>
      </c>
      <c r="Y446" s="312">
        <f t="shared" si="98"/>
        <v>363980.34</v>
      </c>
      <c r="Z446" s="312">
        <f t="shared" si="98"/>
        <v>0</v>
      </c>
      <c r="AA446" s="312">
        <f t="shared" si="98"/>
        <v>469</v>
      </c>
      <c r="AB446" s="313">
        <f t="shared" si="98"/>
        <v>503060</v>
      </c>
      <c r="AC446" s="306"/>
      <c r="AD446" s="306"/>
      <c r="AE446" s="306"/>
      <c r="AF446" s="306"/>
      <c r="AG446" s="306"/>
      <c r="AH446" s="306"/>
      <c r="AI446" s="306"/>
    </row>
    <row r="447" spans="1:37" s="305" customFormat="1" ht="14.25" thickBot="1" x14ac:dyDescent="0.3">
      <c r="A447" s="642" t="s">
        <v>172</v>
      </c>
      <c r="B447" s="643"/>
      <c r="C447" s="643"/>
      <c r="D447" s="643"/>
      <c r="E447" s="287">
        <f>E341</f>
        <v>11937.79</v>
      </c>
      <c r="F447" s="287">
        <f t="shared" ref="F447:AB447" si="99">F341</f>
        <v>97111.790000000008</v>
      </c>
      <c r="G447" s="287">
        <f t="shared" si="99"/>
        <v>28733.79</v>
      </c>
      <c r="H447" s="287">
        <f t="shared" si="99"/>
        <v>14798</v>
      </c>
      <c r="I447" s="287">
        <f t="shared" si="99"/>
        <v>26314</v>
      </c>
      <c r="J447" s="287">
        <f t="shared" si="99"/>
        <v>27266</v>
      </c>
      <c r="K447" s="287">
        <f t="shared" si="99"/>
        <v>28733.79</v>
      </c>
      <c r="L447" s="287">
        <f t="shared" si="99"/>
        <v>7399</v>
      </c>
      <c r="M447" s="287">
        <f t="shared" si="99"/>
        <v>13157</v>
      </c>
      <c r="N447" s="287">
        <f t="shared" si="99"/>
        <v>13633</v>
      </c>
      <c r="O447" s="287">
        <f t="shared" si="99"/>
        <v>62922.789999999994</v>
      </c>
      <c r="P447" s="287">
        <f t="shared" si="99"/>
        <v>7399</v>
      </c>
      <c r="Q447" s="287">
        <f t="shared" si="99"/>
        <v>13157</v>
      </c>
      <c r="R447" s="287">
        <f t="shared" si="99"/>
        <v>13633</v>
      </c>
      <c r="S447" s="287">
        <f t="shared" si="99"/>
        <v>34189</v>
      </c>
      <c r="T447" s="287" t="e">
        <f t="shared" si="99"/>
        <v>#REF!</v>
      </c>
      <c r="U447" s="287">
        <f t="shared" si="99"/>
        <v>1238</v>
      </c>
      <c r="V447" s="287">
        <f t="shared" si="99"/>
        <v>10924</v>
      </c>
      <c r="W447" s="287" t="e">
        <f t="shared" si="99"/>
        <v>#REF!</v>
      </c>
      <c r="X447" s="287">
        <f t="shared" si="99"/>
        <v>4755</v>
      </c>
      <c r="Y447" s="287">
        <f t="shared" si="99"/>
        <v>205439.21</v>
      </c>
      <c r="Z447" s="287">
        <f t="shared" si="99"/>
        <v>10444</v>
      </c>
      <c r="AA447" s="287">
        <f t="shared" si="99"/>
        <v>537</v>
      </c>
      <c r="AB447" s="288">
        <f t="shared" si="99"/>
        <v>323919</v>
      </c>
      <c r="AC447" s="306"/>
      <c r="AD447" s="306"/>
      <c r="AE447" s="306"/>
      <c r="AF447" s="306"/>
      <c r="AG447" s="306"/>
      <c r="AH447" s="306"/>
      <c r="AI447" s="306"/>
    </row>
    <row r="448" spans="1:37" s="305" customFormat="1" ht="13.5" x14ac:dyDescent="0.25">
      <c r="A448" s="644" t="s">
        <v>124</v>
      </c>
      <c r="B448" s="645"/>
      <c r="C448" s="645"/>
      <c r="D448" s="645"/>
      <c r="E448" s="289">
        <f t="shared" ref="E448:AB448" si="100">E343</f>
        <v>0</v>
      </c>
      <c r="F448" s="289">
        <f t="shared" si="100"/>
        <v>908</v>
      </c>
      <c r="G448" s="289">
        <f t="shared" si="100"/>
        <v>818</v>
      </c>
      <c r="H448" s="289">
        <f t="shared" si="100"/>
        <v>0</v>
      </c>
      <c r="I448" s="289">
        <f t="shared" si="100"/>
        <v>90</v>
      </c>
      <c r="J448" s="289">
        <f t="shared" si="100"/>
        <v>0</v>
      </c>
      <c r="K448" s="289">
        <f t="shared" si="100"/>
        <v>818</v>
      </c>
      <c r="L448" s="289">
        <f t="shared" si="100"/>
        <v>0</v>
      </c>
      <c r="M448" s="289">
        <f t="shared" si="100"/>
        <v>45</v>
      </c>
      <c r="N448" s="289">
        <f t="shared" si="100"/>
        <v>0</v>
      </c>
      <c r="O448" s="289">
        <f t="shared" si="100"/>
        <v>863</v>
      </c>
      <c r="P448" s="289">
        <f t="shared" si="100"/>
        <v>0</v>
      </c>
      <c r="Q448" s="289">
        <f t="shared" si="100"/>
        <v>45</v>
      </c>
      <c r="R448" s="289">
        <f t="shared" si="100"/>
        <v>0</v>
      </c>
      <c r="S448" s="289">
        <f t="shared" si="100"/>
        <v>45</v>
      </c>
      <c r="T448" s="289">
        <f t="shared" si="100"/>
        <v>0</v>
      </c>
      <c r="U448" s="289">
        <f t="shared" si="100"/>
        <v>0</v>
      </c>
      <c r="V448" s="289">
        <f t="shared" si="100"/>
        <v>1360</v>
      </c>
      <c r="W448" s="289">
        <f t="shared" si="100"/>
        <v>0</v>
      </c>
      <c r="X448" s="289">
        <f t="shared" si="100"/>
        <v>0</v>
      </c>
      <c r="Y448" s="289">
        <f t="shared" si="100"/>
        <v>558</v>
      </c>
      <c r="Z448" s="289">
        <f t="shared" si="100"/>
        <v>10444</v>
      </c>
      <c r="AA448" s="289">
        <f t="shared" si="100"/>
        <v>0</v>
      </c>
      <c r="AB448" s="290">
        <f t="shared" si="100"/>
        <v>13270</v>
      </c>
      <c r="AC448" s="306"/>
      <c r="AD448" s="306"/>
      <c r="AE448" s="306"/>
      <c r="AF448" s="306"/>
      <c r="AG448" s="306"/>
      <c r="AH448" s="306"/>
      <c r="AI448" s="306"/>
    </row>
    <row r="449" spans="1:39" s="316" customFormat="1" ht="13.5" x14ac:dyDescent="0.25">
      <c r="A449" s="652" t="s">
        <v>185</v>
      </c>
      <c r="B449" s="653"/>
      <c r="C449" s="653"/>
      <c r="D449" s="653"/>
      <c r="E449" s="289">
        <v>0</v>
      </c>
      <c r="F449" s="289">
        <v>90</v>
      </c>
      <c r="G449" s="289">
        <v>0</v>
      </c>
      <c r="H449" s="289">
        <v>0</v>
      </c>
      <c r="I449" s="289">
        <v>90</v>
      </c>
      <c r="J449" s="289">
        <v>0</v>
      </c>
      <c r="K449" s="289">
        <v>0</v>
      </c>
      <c r="L449" s="289">
        <v>0</v>
      </c>
      <c r="M449" s="289">
        <v>45</v>
      </c>
      <c r="N449" s="289">
        <v>0</v>
      </c>
      <c r="O449" s="289">
        <v>45</v>
      </c>
      <c r="P449" s="289">
        <v>0</v>
      </c>
      <c r="Q449" s="319">
        <v>45</v>
      </c>
      <c r="R449" s="319">
        <v>0</v>
      </c>
      <c r="S449" s="289">
        <v>45</v>
      </c>
      <c r="T449" s="289"/>
      <c r="U449" s="289"/>
      <c r="V449" s="289">
        <v>36</v>
      </c>
      <c r="W449" s="289"/>
      <c r="X449" s="289"/>
      <c r="Y449" s="289">
        <v>558</v>
      </c>
      <c r="Z449" s="289">
        <v>0</v>
      </c>
      <c r="AA449" s="289">
        <v>0</v>
      </c>
      <c r="AB449" s="320">
        <f>F449+V449+Y449+Z449</f>
        <v>684</v>
      </c>
      <c r="AC449" s="321"/>
      <c r="AD449" s="315"/>
      <c r="AE449" s="315"/>
      <c r="AF449" s="315"/>
      <c r="AG449" s="315"/>
      <c r="AH449" s="315"/>
      <c r="AI449" s="315"/>
      <c r="AJ449" s="298"/>
      <c r="AK449" s="298"/>
    </row>
    <row r="450" spans="1:39" s="316" customFormat="1" ht="14.25" thickBot="1" x14ac:dyDescent="0.3">
      <c r="A450" s="648" t="s">
        <v>186</v>
      </c>
      <c r="B450" s="649"/>
      <c r="C450" s="649"/>
      <c r="D450" s="649"/>
      <c r="E450" s="299">
        <v>0</v>
      </c>
      <c r="F450" s="299">
        <v>818</v>
      </c>
      <c r="G450" s="299">
        <v>818</v>
      </c>
      <c r="H450" s="299">
        <v>0</v>
      </c>
      <c r="I450" s="299">
        <v>0</v>
      </c>
      <c r="J450" s="299">
        <v>0</v>
      </c>
      <c r="K450" s="299">
        <v>818</v>
      </c>
      <c r="L450" s="299">
        <v>0</v>
      </c>
      <c r="M450" s="299">
        <v>0</v>
      </c>
      <c r="N450" s="299">
        <v>0</v>
      </c>
      <c r="O450" s="299">
        <v>818</v>
      </c>
      <c r="P450" s="299">
        <v>0</v>
      </c>
      <c r="Q450" s="300">
        <v>0</v>
      </c>
      <c r="R450" s="300">
        <v>0</v>
      </c>
      <c r="S450" s="299">
        <v>0</v>
      </c>
      <c r="T450" s="299"/>
      <c r="U450" s="299"/>
      <c r="V450" s="299">
        <v>1324</v>
      </c>
      <c r="W450" s="299"/>
      <c r="X450" s="299"/>
      <c r="Y450" s="299">
        <v>0</v>
      </c>
      <c r="Z450" s="299">
        <v>0</v>
      </c>
      <c r="AA450" s="299">
        <v>0</v>
      </c>
      <c r="AB450" s="297">
        <f>F450+V450+Y450+Z450</f>
        <v>2142</v>
      </c>
      <c r="AC450" s="314"/>
      <c r="AD450" s="315"/>
      <c r="AE450" s="315"/>
      <c r="AF450" s="315"/>
      <c r="AG450" s="315"/>
      <c r="AH450" s="315"/>
      <c r="AI450" s="315"/>
      <c r="AJ450" s="298"/>
      <c r="AK450" s="298"/>
    </row>
    <row r="451" spans="1:39" s="305" customFormat="1" ht="14.25" thickBot="1" x14ac:dyDescent="0.3">
      <c r="A451" s="637" t="s">
        <v>196</v>
      </c>
      <c r="B451" s="638"/>
      <c r="C451" s="638"/>
      <c r="D451" s="638"/>
      <c r="E451" s="312">
        <f t="shared" ref="E451:AB451" si="101">E447-E448</f>
        <v>11937.79</v>
      </c>
      <c r="F451" s="312">
        <f t="shared" si="101"/>
        <v>96203.790000000008</v>
      </c>
      <c r="G451" s="312">
        <f t="shared" si="101"/>
        <v>27915.79</v>
      </c>
      <c r="H451" s="312">
        <f t="shared" si="101"/>
        <v>14798</v>
      </c>
      <c r="I451" s="312">
        <f t="shared" si="101"/>
        <v>26224</v>
      </c>
      <c r="J451" s="312">
        <f t="shared" si="101"/>
        <v>27266</v>
      </c>
      <c r="K451" s="312">
        <f t="shared" si="101"/>
        <v>27915.79</v>
      </c>
      <c r="L451" s="312">
        <f t="shared" si="101"/>
        <v>7399</v>
      </c>
      <c r="M451" s="312">
        <f t="shared" si="101"/>
        <v>13112</v>
      </c>
      <c r="N451" s="312">
        <f t="shared" si="101"/>
        <v>13633</v>
      </c>
      <c r="O451" s="312">
        <f t="shared" si="101"/>
        <v>62059.789999999994</v>
      </c>
      <c r="P451" s="312">
        <f t="shared" si="101"/>
        <v>7399</v>
      </c>
      <c r="Q451" s="312">
        <f t="shared" si="101"/>
        <v>13112</v>
      </c>
      <c r="R451" s="312">
        <f t="shared" si="101"/>
        <v>13633</v>
      </c>
      <c r="S451" s="312">
        <f t="shared" si="101"/>
        <v>34144</v>
      </c>
      <c r="T451" s="312" t="e">
        <f t="shared" si="101"/>
        <v>#REF!</v>
      </c>
      <c r="U451" s="312">
        <f t="shared" si="101"/>
        <v>1238</v>
      </c>
      <c r="V451" s="312">
        <f t="shared" si="101"/>
        <v>9564</v>
      </c>
      <c r="W451" s="312" t="e">
        <f t="shared" si="101"/>
        <v>#REF!</v>
      </c>
      <c r="X451" s="312">
        <f t="shared" si="101"/>
        <v>4755</v>
      </c>
      <c r="Y451" s="312">
        <f t="shared" si="101"/>
        <v>204881.21</v>
      </c>
      <c r="Z451" s="312">
        <f t="shared" si="101"/>
        <v>0</v>
      </c>
      <c r="AA451" s="312">
        <f t="shared" si="101"/>
        <v>537</v>
      </c>
      <c r="AB451" s="313">
        <f t="shared" si="101"/>
        <v>310649</v>
      </c>
      <c r="AC451" s="306"/>
      <c r="AD451" s="306"/>
      <c r="AE451" s="306"/>
      <c r="AF451" s="306"/>
      <c r="AG451" s="306"/>
      <c r="AH451" s="306"/>
      <c r="AI451" s="306"/>
    </row>
    <row r="452" spans="1:39" s="305" customFormat="1" ht="14.25" thickBot="1" x14ac:dyDescent="0.3">
      <c r="A452" s="642" t="s">
        <v>176</v>
      </c>
      <c r="B452" s="643"/>
      <c r="C452" s="643"/>
      <c r="D452" s="643"/>
      <c r="E452" s="287">
        <f>E396</f>
        <v>6965.34</v>
      </c>
      <c r="F452" s="287">
        <f t="shared" ref="F452:AB452" si="102">F396</f>
        <v>119409.34000000001</v>
      </c>
      <c r="G452" s="287">
        <f t="shared" si="102"/>
        <v>21487.34</v>
      </c>
      <c r="H452" s="287">
        <f t="shared" si="102"/>
        <v>25852</v>
      </c>
      <c r="I452" s="287">
        <f t="shared" si="102"/>
        <v>41186</v>
      </c>
      <c r="J452" s="287">
        <f t="shared" si="102"/>
        <v>30884</v>
      </c>
      <c r="K452" s="287">
        <f t="shared" si="102"/>
        <v>21487.34</v>
      </c>
      <c r="L452" s="287">
        <f t="shared" si="102"/>
        <v>12926</v>
      </c>
      <c r="M452" s="287">
        <f t="shared" si="102"/>
        <v>20593</v>
      </c>
      <c r="N452" s="287">
        <f t="shared" si="102"/>
        <v>15442</v>
      </c>
      <c r="O452" s="287">
        <f t="shared" si="102"/>
        <v>70448.340000000011</v>
      </c>
      <c r="P452" s="287">
        <f t="shared" si="102"/>
        <v>12926</v>
      </c>
      <c r="Q452" s="287">
        <f t="shared" si="102"/>
        <v>20593</v>
      </c>
      <c r="R452" s="287">
        <f t="shared" si="102"/>
        <v>15442</v>
      </c>
      <c r="S452" s="287">
        <f t="shared" si="102"/>
        <v>48961</v>
      </c>
      <c r="T452" s="287" t="e">
        <f t="shared" si="102"/>
        <v>#REF!</v>
      </c>
      <c r="U452" s="287">
        <f t="shared" si="102"/>
        <v>0</v>
      </c>
      <c r="V452" s="287">
        <f t="shared" si="102"/>
        <v>14863</v>
      </c>
      <c r="W452" s="287" t="e">
        <f t="shared" si="102"/>
        <v>#REF!</v>
      </c>
      <c r="X452" s="287">
        <f t="shared" si="102"/>
        <v>0</v>
      </c>
      <c r="Y452" s="287">
        <f t="shared" si="102"/>
        <v>259200.66000000003</v>
      </c>
      <c r="Z452" s="287">
        <f t="shared" si="102"/>
        <v>853</v>
      </c>
      <c r="AA452" s="287">
        <f t="shared" si="102"/>
        <v>482</v>
      </c>
      <c r="AB452" s="288">
        <f t="shared" si="102"/>
        <v>394326</v>
      </c>
      <c r="AC452" s="306"/>
      <c r="AD452" s="306"/>
      <c r="AE452" s="306"/>
      <c r="AF452" s="306"/>
      <c r="AG452" s="306"/>
      <c r="AH452" s="306"/>
      <c r="AI452" s="306"/>
    </row>
    <row r="453" spans="1:39" s="316" customFormat="1" ht="13.5" x14ac:dyDescent="0.25">
      <c r="A453" s="644" t="s">
        <v>124</v>
      </c>
      <c r="B453" s="645"/>
      <c r="C453" s="645"/>
      <c r="D453" s="645"/>
      <c r="E453" s="289">
        <f>E401</f>
        <v>0</v>
      </c>
      <c r="F453" s="289">
        <f t="shared" ref="F453:AB453" si="103">F401</f>
        <v>3907</v>
      </c>
      <c r="G453" s="289">
        <f t="shared" si="103"/>
        <v>2777</v>
      </c>
      <c r="H453" s="289">
        <f t="shared" si="103"/>
        <v>0</v>
      </c>
      <c r="I453" s="289">
        <f t="shared" si="103"/>
        <v>920</v>
      </c>
      <c r="J453" s="289">
        <f t="shared" si="103"/>
        <v>210</v>
      </c>
      <c r="K453" s="289">
        <f t="shared" si="103"/>
        <v>2777</v>
      </c>
      <c r="L453" s="289">
        <f t="shared" si="103"/>
        <v>0</v>
      </c>
      <c r="M453" s="289">
        <f t="shared" si="103"/>
        <v>460</v>
      </c>
      <c r="N453" s="289">
        <f t="shared" si="103"/>
        <v>105</v>
      </c>
      <c r="O453" s="289">
        <f t="shared" si="103"/>
        <v>3907</v>
      </c>
      <c r="P453" s="289">
        <f t="shared" si="103"/>
        <v>0</v>
      </c>
      <c r="Q453" s="289">
        <f t="shared" si="103"/>
        <v>460</v>
      </c>
      <c r="R453" s="289">
        <f t="shared" si="103"/>
        <v>105</v>
      </c>
      <c r="S453" s="289">
        <f t="shared" si="103"/>
        <v>565</v>
      </c>
      <c r="T453" s="289">
        <f t="shared" si="103"/>
        <v>0</v>
      </c>
      <c r="U453" s="289">
        <f t="shared" si="103"/>
        <v>0</v>
      </c>
      <c r="V453" s="289">
        <f t="shared" si="103"/>
        <v>449</v>
      </c>
      <c r="W453" s="289">
        <f t="shared" si="103"/>
        <v>0</v>
      </c>
      <c r="X453" s="289">
        <f t="shared" si="103"/>
        <v>0</v>
      </c>
      <c r="Y453" s="289">
        <f t="shared" si="103"/>
        <v>1960</v>
      </c>
      <c r="Z453" s="289">
        <f t="shared" si="103"/>
        <v>853</v>
      </c>
      <c r="AA453" s="289">
        <f t="shared" si="103"/>
        <v>0</v>
      </c>
      <c r="AB453" s="290">
        <f t="shared" si="103"/>
        <v>7169</v>
      </c>
      <c r="AC453" s="314"/>
      <c r="AD453" s="315"/>
      <c r="AE453" s="315"/>
      <c r="AF453" s="315"/>
      <c r="AG453" s="315"/>
      <c r="AH453" s="315"/>
      <c r="AI453" s="315"/>
      <c r="AJ453" s="298"/>
      <c r="AK453" s="298"/>
    </row>
    <row r="454" spans="1:39" s="316" customFormat="1" ht="13.5" x14ac:dyDescent="0.25">
      <c r="A454" s="646" t="s">
        <v>185</v>
      </c>
      <c r="B454" s="647"/>
      <c r="C454" s="647"/>
      <c r="D454" s="647"/>
      <c r="E454" s="295">
        <v>0</v>
      </c>
      <c r="F454" s="295">
        <f>I454+J454</f>
        <v>1130</v>
      </c>
      <c r="G454" s="295">
        <v>0</v>
      </c>
      <c r="H454" s="295">
        <v>0</v>
      </c>
      <c r="I454" s="295">
        <v>920</v>
      </c>
      <c r="J454" s="295">
        <v>210</v>
      </c>
      <c r="K454" s="295">
        <v>0</v>
      </c>
      <c r="L454" s="295">
        <v>0</v>
      </c>
      <c r="M454" s="295">
        <f>I454/2</f>
        <v>460</v>
      </c>
      <c r="N454" s="295">
        <f>J454/2</f>
        <v>105</v>
      </c>
      <c r="O454" s="295">
        <v>0</v>
      </c>
      <c r="P454" s="295">
        <v>0</v>
      </c>
      <c r="Q454" s="295">
        <f>I454/2</f>
        <v>460</v>
      </c>
      <c r="R454" s="295">
        <f>J454/2</f>
        <v>105</v>
      </c>
      <c r="S454" s="295">
        <f>Q454+R454</f>
        <v>565</v>
      </c>
      <c r="T454" s="295"/>
      <c r="U454" s="295"/>
      <c r="V454" s="295">
        <v>0</v>
      </c>
      <c r="W454" s="295"/>
      <c r="X454" s="295"/>
      <c r="Y454" s="295">
        <v>1960</v>
      </c>
      <c r="Z454" s="295">
        <v>0</v>
      </c>
      <c r="AA454" s="295">
        <v>0</v>
      </c>
      <c r="AB454" s="317">
        <f>F454+V454+Y454+Z454</f>
        <v>3090</v>
      </c>
      <c r="AC454" s="314"/>
      <c r="AD454" s="315"/>
      <c r="AE454" s="315"/>
      <c r="AF454" s="315"/>
      <c r="AG454" s="315"/>
      <c r="AH454" s="315"/>
      <c r="AI454" s="315"/>
      <c r="AJ454" s="298"/>
      <c r="AK454" s="298"/>
    </row>
    <row r="455" spans="1:39" s="316" customFormat="1" ht="14.25" thickBot="1" x14ac:dyDescent="0.3">
      <c r="A455" s="648" t="s">
        <v>186</v>
      </c>
      <c r="B455" s="649"/>
      <c r="C455" s="649"/>
      <c r="D455" s="649"/>
      <c r="E455" s="299">
        <v>0</v>
      </c>
      <c r="F455" s="299">
        <v>2777</v>
      </c>
      <c r="G455" s="299">
        <v>2777</v>
      </c>
      <c r="H455" s="299">
        <v>0</v>
      </c>
      <c r="I455" s="299">
        <v>0</v>
      </c>
      <c r="J455" s="299">
        <v>0</v>
      </c>
      <c r="K455" s="299">
        <v>2777</v>
      </c>
      <c r="L455" s="299">
        <v>0</v>
      </c>
      <c r="M455" s="299">
        <v>0</v>
      </c>
      <c r="N455" s="299">
        <v>0</v>
      </c>
      <c r="O455" s="299">
        <v>2777</v>
      </c>
      <c r="P455" s="299">
        <v>0</v>
      </c>
      <c r="Q455" s="300">
        <v>0</v>
      </c>
      <c r="R455" s="300">
        <v>0</v>
      </c>
      <c r="S455" s="299">
        <v>0</v>
      </c>
      <c r="T455" s="299"/>
      <c r="U455" s="299"/>
      <c r="V455" s="299">
        <v>449</v>
      </c>
      <c r="W455" s="299"/>
      <c r="X455" s="299"/>
      <c r="Y455" s="299">
        <v>0</v>
      </c>
      <c r="Z455" s="299">
        <v>0</v>
      </c>
      <c r="AA455" s="299">
        <v>0</v>
      </c>
      <c r="AB455" s="297">
        <f>F455+V455+Y455+Z455</f>
        <v>3226</v>
      </c>
      <c r="AC455" s="314"/>
      <c r="AD455" s="315"/>
      <c r="AE455" s="315"/>
      <c r="AF455" s="315"/>
      <c r="AG455" s="315"/>
      <c r="AH455" s="315"/>
      <c r="AI455" s="315"/>
      <c r="AJ455" s="298"/>
      <c r="AK455" s="298"/>
    </row>
    <row r="456" spans="1:39" s="305" customFormat="1" ht="14.25" thickBot="1" x14ac:dyDescent="0.3">
      <c r="A456" s="642" t="s">
        <v>187</v>
      </c>
      <c r="B456" s="643"/>
      <c r="C456" s="643"/>
      <c r="D456" s="643"/>
      <c r="E456" s="308">
        <f>E400</f>
        <v>0</v>
      </c>
      <c r="F456" s="308">
        <f t="shared" ref="F456:AA456" si="104">F400</f>
        <v>900</v>
      </c>
      <c r="G456" s="308">
        <f t="shared" si="104"/>
        <v>0</v>
      </c>
      <c r="H456" s="308">
        <f t="shared" si="104"/>
        <v>174</v>
      </c>
      <c r="I456" s="308">
        <f t="shared" si="104"/>
        <v>162</v>
      </c>
      <c r="J456" s="308">
        <f t="shared" si="104"/>
        <v>564</v>
      </c>
      <c r="K456" s="308">
        <f t="shared" si="104"/>
        <v>0</v>
      </c>
      <c r="L456" s="308">
        <f t="shared" si="104"/>
        <v>87</v>
      </c>
      <c r="M456" s="308">
        <f t="shared" si="104"/>
        <v>81</v>
      </c>
      <c r="N456" s="308">
        <f t="shared" si="104"/>
        <v>282</v>
      </c>
      <c r="O456" s="308">
        <f t="shared" si="104"/>
        <v>450</v>
      </c>
      <c r="P456" s="308">
        <f t="shared" si="104"/>
        <v>87</v>
      </c>
      <c r="Q456" s="308">
        <f t="shared" si="104"/>
        <v>81</v>
      </c>
      <c r="R456" s="308">
        <f t="shared" si="104"/>
        <v>282</v>
      </c>
      <c r="S456" s="308">
        <f t="shared" si="104"/>
        <v>450</v>
      </c>
      <c r="T456" s="308">
        <f t="shared" si="104"/>
        <v>0</v>
      </c>
      <c r="U456" s="308">
        <f t="shared" si="104"/>
        <v>0</v>
      </c>
      <c r="V456" s="308">
        <f t="shared" si="104"/>
        <v>0</v>
      </c>
      <c r="W456" s="308">
        <f t="shared" si="104"/>
        <v>0</v>
      </c>
      <c r="X456" s="308">
        <f t="shared" si="104"/>
        <v>0</v>
      </c>
      <c r="Y456" s="308">
        <v>137</v>
      </c>
      <c r="Z456" s="308">
        <f t="shared" si="104"/>
        <v>0</v>
      </c>
      <c r="AA456" s="308">
        <f t="shared" si="104"/>
        <v>0</v>
      </c>
      <c r="AB456" s="309">
        <f>AB400+Y456</f>
        <v>1037</v>
      </c>
      <c r="AC456" s="306"/>
      <c r="AD456" s="306"/>
      <c r="AE456" s="306"/>
      <c r="AF456" s="306"/>
      <c r="AG456" s="306"/>
      <c r="AH456" s="306"/>
      <c r="AI456" s="306"/>
    </row>
    <row r="457" spans="1:39" s="81" customFormat="1" ht="13.5" x14ac:dyDescent="0.25">
      <c r="A457" s="633" t="s">
        <v>197</v>
      </c>
      <c r="B457" s="634"/>
      <c r="C457" s="634"/>
      <c r="D457" s="634"/>
      <c r="E457" s="191">
        <f>E452+E456</f>
        <v>6965.34</v>
      </c>
      <c r="F457" s="191">
        <f t="shared" ref="F457:AA457" si="105">F452+F456</f>
        <v>120309.34000000001</v>
      </c>
      <c r="G457" s="191">
        <f t="shared" si="105"/>
        <v>21487.34</v>
      </c>
      <c r="H457" s="191">
        <f t="shared" si="105"/>
        <v>26026</v>
      </c>
      <c r="I457" s="191">
        <f t="shared" si="105"/>
        <v>41348</v>
      </c>
      <c r="J457" s="191">
        <f t="shared" si="105"/>
        <v>31448</v>
      </c>
      <c r="K457" s="191">
        <f t="shared" si="105"/>
        <v>21487.34</v>
      </c>
      <c r="L457" s="191">
        <f t="shared" si="105"/>
        <v>13013</v>
      </c>
      <c r="M457" s="191">
        <f t="shared" si="105"/>
        <v>20674</v>
      </c>
      <c r="N457" s="191">
        <f t="shared" si="105"/>
        <v>15724</v>
      </c>
      <c r="O457" s="191">
        <f t="shared" si="105"/>
        <v>70898.340000000011</v>
      </c>
      <c r="P457" s="191">
        <f t="shared" si="105"/>
        <v>13013</v>
      </c>
      <c r="Q457" s="191">
        <f t="shared" si="105"/>
        <v>20674</v>
      </c>
      <c r="R457" s="191">
        <f t="shared" si="105"/>
        <v>15724</v>
      </c>
      <c r="S457" s="191">
        <f t="shared" si="105"/>
        <v>49411</v>
      </c>
      <c r="T457" s="191" t="e">
        <f t="shared" si="105"/>
        <v>#REF!</v>
      </c>
      <c r="U457" s="191">
        <f t="shared" si="105"/>
        <v>0</v>
      </c>
      <c r="V457" s="191">
        <f t="shared" si="105"/>
        <v>14863</v>
      </c>
      <c r="W457" s="191" t="e">
        <f t="shared" si="105"/>
        <v>#REF!</v>
      </c>
      <c r="X457" s="191">
        <f t="shared" si="105"/>
        <v>0</v>
      </c>
      <c r="Y457" s="191">
        <f>Y452+Y456</f>
        <v>259337.66000000003</v>
      </c>
      <c r="Z457" s="191">
        <f t="shared" si="105"/>
        <v>853</v>
      </c>
      <c r="AA457" s="191">
        <f t="shared" si="105"/>
        <v>482</v>
      </c>
      <c r="AB457" s="193">
        <f>AB452+AB456</f>
        <v>395363</v>
      </c>
      <c r="AC457" s="80"/>
      <c r="AD457" s="80"/>
      <c r="AE457" s="80"/>
      <c r="AF457" s="80"/>
      <c r="AG457" s="80"/>
      <c r="AH457" s="80"/>
      <c r="AI457" s="80"/>
    </row>
    <row r="458" spans="1:39" s="305" customFormat="1" ht="14.25" thickBot="1" x14ac:dyDescent="0.3">
      <c r="A458" s="635" t="s">
        <v>124</v>
      </c>
      <c r="B458" s="636"/>
      <c r="C458" s="636"/>
      <c r="D458" s="636"/>
      <c r="E458" s="198">
        <f>E401</f>
        <v>0</v>
      </c>
      <c r="F458" s="198">
        <f t="shared" ref="F458:AB458" si="106">F401</f>
        <v>3907</v>
      </c>
      <c r="G458" s="198">
        <f t="shared" si="106"/>
        <v>2777</v>
      </c>
      <c r="H458" s="198">
        <f t="shared" si="106"/>
        <v>0</v>
      </c>
      <c r="I458" s="198">
        <f t="shared" si="106"/>
        <v>920</v>
      </c>
      <c r="J458" s="198">
        <f t="shared" si="106"/>
        <v>210</v>
      </c>
      <c r="K458" s="198">
        <f t="shared" si="106"/>
        <v>2777</v>
      </c>
      <c r="L458" s="198">
        <f t="shared" si="106"/>
        <v>0</v>
      </c>
      <c r="M458" s="198">
        <f t="shared" si="106"/>
        <v>460</v>
      </c>
      <c r="N458" s="198">
        <f t="shared" si="106"/>
        <v>105</v>
      </c>
      <c r="O458" s="198">
        <f t="shared" si="106"/>
        <v>3907</v>
      </c>
      <c r="P458" s="198">
        <f t="shared" si="106"/>
        <v>0</v>
      </c>
      <c r="Q458" s="198">
        <f t="shared" si="106"/>
        <v>460</v>
      </c>
      <c r="R458" s="198">
        <f t="shared" si="106"/>
        <v>105</v>
      </c>
      <c r="S458" s="198">
        <f t="shared" si="106"/>
        <v>565</v>
      </c>
      <c r="T458" s="198">
        <f t="shared" si="106"/>
        <v>0</v>
      </c>
      <c r="U458" s="198">
        <f t="shared" si="106"/>
        <v>0</v>
      </c>
      <c r="V458" s="198">
        <f t="shared" si="106"/>
        <v>449</v>
      </c>
      <c r="W458" s="198">
        <f t="shared" si="106"/>
        <v>0</v>
      </c>
      <c r="X458" s="198">
        <f t="shared" si="106"/>
        <v>0</v>
      </c>
      <c r="Y458" s="198">
        <f t="shared" si="106"/>
        <v>1960</v>
      </c>
      <c r="Z458" s="198">
        <f t="shared" si="106"/>
        <v>853</v>
      </c>
      <c r="AA458" s="198">
        <f t="shared" si="106"/>
        <v>0</v>
      </c>
      <c r="AB458" s="200">
        <f t="shared" si="106"/>
        <v>7169</v>
      </c>
      <c r="AC458" s="318">
        <f t="shared" ref="AC458:AK458" si="107">AC452</f>
        <v>0</v>
      </c>
      <c r="AD458" s="168">
        <f t="shared" si="107"/>
        <v>0</v>
      </c>
      <c r="AE458" s="168">
        <f t="shared" si="107"/>
        <v>0</v>
      </c>
      <c r="AF458" s="168">
        <f t="shared" si="107"/>
        <v>0</v>
      </c>
      <c r="AG458" s="168">
        <f t="shared" si="107"/>
        <v>0</v>
      </c>
      <c r="AH458" s="168">
        <f t="shared" si="107"/>
        <v>0</v>
      </c>
      <c r="AI458" s="168">
        <f t="shared" si="107"/>
        <v>0</v>
      </c>
      <c r="AJ458" s="168">
        <f t="shared" si="107"/>
        <v>0</v>
      </c>
      <c r="AK458" s="168">
        <f t="shared" si="107"/>
        <v>0</v>
      </c>
    </row>
    <row r="459" spans="1:39" s="305" customFormat="1" ht="14.25" thickBot="1" x14ac:dyDescent="0.3">
      <c r="A459" s="637" t="s">
        <v>198</v>
      </c>
      <c r="B459" s="638"/>
      <c r="C459" s="638"/>
      <c r="D459" s="638"/>
      <c r="E459" s="312">
        <f>E457-E458</f>
        <v>6965.34</v>
      </c>
      <c r="F459" s="312">
        <f t="shared" ref="F459:AB459" si="108">F457-F458</f>
        <v>116402.34000000001</v>
      </c>
      <c r="G459" s="312">
        <f t="shared" si="108"/>
        <v>18710.34</v>
      </c>
      <c r="H459" s="312">
        <f t="shared" si="108"/>
        <v>26026</v>
      </c>
      <c r="I459" s="312">
        <f t="shared" si="108"/>
        <v>40428</v>
      </c>
      <c r="J459" s="312">
        <f t="shared" si="108"/>
        <v>31238</v>
      </c>
      <c r="K459" s="312">
        <f t="shared" si="108"/>
        <v>18710.34</v>
      </c>
      <c r="L459" s="312">
        <f t="shared" si="108"/>
        <v>13013</v>
      </c>
      <c r="M459" s="312">
        <f t="shared" si="108"/>
        <v>20214</v>
      </c>
      <c r="N459" s="312">
        <f t="shared" si="108"/>
        <v>15619</v>
      </c>
      <c r="O459" s="312">
        <f t="shared" si="108"/>
        <v>66991.340000000011</v>
      </c>
      <c r="P459" s="312">
        <f t="shared" si="108"/>
        <v>13013</v>
      </c>
      <c r="Q459" s="312">
        <f t="shared" si="108"/>
        <v>20214</v>
      </c>
      <c r="R459" s="312">
        <f t="shared" si="108"/>
        <v>15619</v>
      </c>
      <c r="S459" s="312">
        <f t="shared" si="108"/>
        <v>48846</v>
      </c>
      <c r="T459" s="312" t="e">
        <f t="shared" si="108"/>
        <v>#REF!</v>
      </c>
      <c r="U459" s="312">
        <f t="shared" si="108"/>
        <v>0</v>
      </c>
      <c r="V459" s="312">
        <f t="shared" si="108"/>
        <v>14414</v>
      </c>
      <c r="W459" s="312" t="e">
        <f t="shared" si="108"/>
        <v>#REF!</v>
      </c>
      <c r="X459" s="312">
        <f t="shared" si="108"/>
        <v>0</v>
      </c>
      <c r="Y459" s="312">
        <f>Y457-Y458</f>
        <v>257377.66000000003</v>
      </c>
      <c r="Z459" s="312">
        <f t="shared" si="108"/>
        <v>0</v>
      </c>
      <c r="AA459" s="312">
        <f t="shared" si="108"/>
        <v>482</v>
      </c>
      <c r="AB459" s="313">
        <f t="shared" si="108"/>
        <v>388194</v>
      </c>
      <c r="AC459" s="306"/>
      <c r="AD459" s="306"/>
      <c r="AE459" s="306"/>
      <c r="AF459" s="306"/>
      <c r="AG459" s="306"/>
      <c r="AH459" s="306"/>
      <c r="AI459" s="306"/>
    </row>
    <row r="460" spans="1:39" s="305" customFormat="1" ht="14.25" thickBot="1" x14ac:dyDescent="0.3">
      <c r="A460" s="322"/>
      <c r="B460" s="322"/>
      <c r="C460" s="322"/>
      <c r="D460" s="322"/>
      <c r="E460" s="323"/>
      <c r="F460" s="323"/>
      <c r="G460" s="323"/>
      <c r="H460" s="323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  <c r="T460" s="323"/>
      <c r="U460" s="323"/>
      <c r="V460" s="323"/>
      <c r="W460" s="323"/>
      <c r="X460" s="323"/>
      <c r="Y460" s="323"/>
      <c r="Z460" s="323"/>
      <c r="AA460" s="323"/>
      <c r="AB460" s="323"/>
      <c r="AC460" s="306"/>
      <c r="AD460" s="306"/>
      <c r="AE460" s="306"/>
      <c r="AF460" s="306"/>
      <c r="AG460" s="306"/>
      <c r="AH460" s="306"/>
      <c r="AI460" s="306"/>
    </row>
    <row r="461" spans="1:39" ht="14.25" thickBot="1" x14ac:dyDescent="0.3">
      <c r="A461" s="324"/>
      <c r="B461" s="325" t="s">
        <v>199</v>
      </c>
      <c r="C461" s="325"/>
      <c r="D461" s="325"/>
      <c r="E461" s="326">
        <f>E425+E435+E444+E447+E457</f>
        <v>55842.460000000006</v>
      </c>
      <c r="F461" s="327">
        <f t="shared" ref="F461:AA462" si="109">F425+F435+F444+F447+F457</f>
        <v>650240.46</v>
      </c>
      <c r="G461" s="327">
        <f t="shared" si="109"/>
        <v>160179.46</v>
      </c>
      <c r="H461" s="327">
        <f t="shared" si="109"/>
        <v>91844</v>
      </c>
      <c r="I461" s="327">
        <f t="shared" si="109"/>
        <v>221927</v>
      </c>
      <c r="J461" s="327">
        <f t="shared" si="109"/>
        <v>176290</v>
      </c>
      <c r="K461" s="327">
        <f t="shared" si="109"/>
        <v>160179.46</v>
      </c>
      <c r="L461" s="327">
        <f t="shared" si="109"/>
        <v>45922.5</v>
      </c>
      <c r="M461" s="327">
        <f t="shared" si="109"/>
        <v>110964</v>
      </c>
      <c r="N461" s="327">
        <f t="shared" si="109"/>
        <v>88145</v>
      </c>
      <c r="O461" s="327">
        <f t="shared" si="109"/>
        <v>405210.96</v>
      </c>
      <c r="P461" s="327">
        <f t="shared" si="109"/>
        <v>45922.5</v>
      </c>
      <c r="Q461" s="327">
        <f t="shared" si="109"/>
        <v>110964</v>
      </c>
      <c r="R461" s="327">
        <f t="shared" si="109"/>
        <v>88145</v>
      </c>
      <c r="S461" s="327">
        <f t="shared" si="109"/>
        <v>245031.5</v>
      </c>
      <c r="T461" s="327" t="e">
        <f t="shared" si="109"/>
        <v>#REF!</v>
      </c>
      <c r="U461" s="327">
        <f t="shared" si="109"/>
        <v>1238</v>
      </c>
      <c r="V461" s="327">
        <f t="shared" si="109"/>
        <v>85531</v>
      </c>
      <c r="W461" s="327" t="e">
        <f t="shared" si="109"/>
        <v>#REF!</v>
      </c>
      <c r="X461" s="327">
        <f t="shared" si="109"/>
        <v>10277</v>
      </c>
      <c r="Y461" s="327">
        <f t="shared" si="109"/>
        <v>1699573.54</v>
      </c>
      <c r="Z461" s="327">
        <f t="shared" si="109"/>
        <v>41968</v>
      </c>
      <c r="AA461" s="327">
        <f t="shared" si="109"/>
        <v>2450.5</v>
      </c>
      <c r="AB461" s="327">
        <f>AB425+AB435+AB444+AB447+AB457</f>
        <v>2477313</v>
      </c>
      <c r="AC461" s="117"/>
      <c r="AD461" s="76"/>
      <c r="AE461" s="76"/>
      <c r="AF461" s="76"/>
      <c r="AG461" s="76"/>
      <c r="AH461" s="76"/>
      <c r="AI461" s="76"/>
      <c r="AJ461" s="110"/>
      <c r="AK461" s="110"/>
      <c r="AL461" s="65">
        <v>2480321</v>
      </c>
      <c r="AM461" s="65">
        <f>AL461-AB461</f>
        <v>3008</v>
      </c>
    </row>
    <row r="462" spans="1:39" ht="13.5" x14ac:dyDescent="0.25">
      <c r="A462" s="328"/>
      <c r="B462" s="639" t="s">
        <v>124</v>
      </c>
      <c r="C462" s="639"/>
      <c r="D462" s="639"/>
      <c r="E462" s="191">
        <f>E426+E436+E445+E448+E458</f>
        <v>0</v>
      </c>
      <c r="F462" s="191">
        <f t="shared" si="109"/>
        <v>7417</v>
      </c>
      <c r="G462" s="191">
        <f t="shared" si="109"/>
        <v>5830</v>
      </c>
      <c r="H462" s="191">
        <f t="shared" si="109"/>
        <v>83</v>
      </c>
      <c r="I462" s="191">
        <f t="shared" si="109"/>
        <v>1294</v>
      </c>
      <c r="J462" s="191">
        <f t="shared" si="109"/>
        <v>210</v>
      </c>
      <c r="K462" s="191">
        <f t="shared" si="109"/>
        <v>5830</v>
      </c>
      <c r="L462" s="191">
        <f t="shared" si="109"/>
        <v>41.5</v>
      </c>
      <c r="M462" s="191">
        <f t="shared" si="109"/>
        <v>647</v>
      </c>
      <c r="N462" s="191">
        <f t="shared" si="109"/>
        <v>105</v>
      </c>
      <c r="O462" s="191">
        <f t="shared" si="109"/>
        <v>6184.5</v>
      </c>
      <c r="P462" s="191">
        <f t="shared" si="109"/>
        <v>41.5</v>
      </c>
      <c r="Q462" s="191">
        <f t="shared" si="109"/>
        <v>647</v>
      </c>
      <c r="R462" s="191">
        <f t="shared" si="109"/>
        <v>105</v>
      </c>
      <c r="S462" s="191">
        <f t="shared" si="109"/>
        <v>793.5</v>
      </c>
      <c r="T462" s="191">
        <f t="shared" si="109"/>
        <v>0</v>
      </c>
      <c r="U462" s="191">
        <f t="shared" si="109"/>
        <v>0</v>
      </c>
      <c r="V462" s="191">
        <f t="shared" si="109"/>
        <v>8789</v>
      </c>
      <c r="W462" s="191">
        <f t="shared" si="109"/>
        <v>0</v>
      </c>
      <c r="X462" s="191">
        <f t="shared" si="109"/>
        <v>0</v>
      </c>
      <c r="Y462" s="191">
        <f t="shared" si="109"/>
        <v>5272</v>
      </c>
      <c r="Z462" s="191">
        <f t="shared" si="109"/>
        <v>38573</v>
      </c>
      <c r="AA462" s="191">
        <f t="shared" si="109"/>
        <v>0</v>
      </c>
      <c r="AB462" s="191">
        <f>AB426+AB436+AB445+AB448+AB458</f>
        <v>60051</v>
      </c>
      <c r="AC462" s="143">
        <f t="shared" ref="AC462:AK462" si="110">AC426+AC436+AC439+AC445+AC448+AC458</f>
        <v>0</v>
      </c>
      <c r="AD462" s="144">
        <f t="shared" si="110"/>
        <v>0</v>
      </c>
      <c r="AE462" s="144">
        <f t="shared" si="110"/>
        <v>0</v>
      </c>
      <c r="AF462" s="144">
        <f t="shared" si="110"/>
        <v>0</v>
      </c>
      <c r="AG462" s="144">
        <f t="shared" si="110"/>
        <v>0</v>
      </c>
      <c r="AH462" s="144">
        <f t="shared" si="110"/>
        <v>0</v>
      </c>
      <c r="AI462" s="144">
        <f t="shared" si="110"/>
        <v>0</v>
      </c>
      <c r="AJ462" s="144">
        <f t="shared" si="110"/>
        <v>0</v>
      </c>
      <c r="AK462" s="144">
        <f t="shared" si="110"/>
        <v>0</v>
      </c>
      <c r="AL462" s="329"/>
    </row>
    <row r="463" spans="1:39" ht="13.5" x14ac:dyDescent="0.25">
      <c r="A463" s="640" t="s">
        <v>185</v>
      </c>
      <c r="B463" s="641"/>
      <c r="C463" s="641"/>
      <c r="D463" s="641"/>
      <c r="E463" s="144">
        <f>E427+E432+E440+E449+E454</f>
        <v>0</v>
      </c>
      <c r="F463" s="144">
        <f t="shared" ref="F463:AB463" si="111">F427+F432+F440+F449+F454</f>
        <v>2224</v>
      </c>
      <c r="G463" s="144">
        <f t="shared" si="111"/>
        <v>1004</v>
      </c>
      <c r="H463" s="144">
        <f t="shared" si="111"/>
        <v>0</v>
      </c>
      <c r="I463" s="144">
        <f t="shared" si="111"/>
        <v>1010</v>
      </c>
      <c r="J463" s="144">
        <f t="shared" si="111"/>
        <v>210</v>
      </c>
      <c r="K463" s="144">
        <f t="shared" si="111"/>
        <v>1004</v>
      </c>
      <c r="L463" s="144">
        <f t="shared" si="111"/>
        <v>0</v>
      </c>
      <c r="M463" s="144">
        <f t="shared" si="111"/>
        <v>505</v>
      </c>
      <c r="N463" s="144">
        <f t="shared" si="111"/>
        <v>105</v>
      </c>
      <c r="O463" s="144">
        <f t="shared" si="111"/>
        <v>45</v>
      </c>
      <c r="P463" s="144">
        <f t="shared" si="111"/>
        <v>0</v>
      </c>
      <c r="Q463" s="144">
        <f t="shared" si="111"/>
        <v>505</v>
      </c>
      <c r="R463" s="144">
        <f t="shared" si="111"/>
        <v>105</v>
      </c>
      <c r="S463" s="144">
        <f t="shared" si="111"/>
        <v>610</v>
      </c>
      <c r="T463" s="144">
        <f t="shared" si="111"/>
        <v>0</v>
      </c>
      <c r="U463" s="144">
        <f t="shared" si="111"/>
        <v>0</v>
      </c>
      <c r="V463" s="144">
        <f t="shared" si="111"/>
        <v>836</v>
      </c>
      <c r="W463" s="144">
        <f t="shared" si="111"/>
        <v>0</v>
      </c>
      <c r="X463" s="144">
        <f t="shared" si="111"/>
        <v>0</v>
      </c>
      <c r="Y463" s="144">
        <f t="shared" si="111"/>
        <v>3160</v>
      </c>
      <c r="Z463" s="144">
        <f t="shared" si="111"/>
        <v>0</v>
      </c>
      <c r="AA463" s="144">
        <f t="shared" si="111"/>
        <v>0</v>
      </c>
      <c r="AB463" s="196">
        <f t="shared" si="111"/>
        <v>6220</v>
      </c>
      <c r="AC463" s="117"/>
      <c r="AD463" s="76"/>
      <c r="AE463" s="76"/>
      <c r="AF463" s="76"/>
      <c r="AG463" s="76"/>
      <c r="AH463" s="76"/>
      <c r="AI463" s="76"/>
      <c r="AJ463" s="110"/>
      <c r="AK463" s="110"/>
    </row>
    <row r="464" spans="1:39" ht="13.5" x14ac:dyDescent="0.25">
      <c r="A464" s="640" t="s">
        <v>186</v>
      </c>
      <c r="B464" s="641"/>
      <c r="C464" s="641"/>
      <c r="D464" s="641"/>
      <c r="E464" s="144">
        <f>E428+E433+E442+E450+E455</f>
        <v>0</v>
      </c>
      <c r="F464" s="144">
        <f t="shared" ref="F464:AB464" si="112">F428+F433+F442+F450+F455</f>
        <v>4739</v>
      </c>
      <c r="G464" s="144">
        <f t="shared" si="112"/>
        <v>4739</v>
      </c>
      <c r="H464" s="144">
        <f t="shared" si="112"/>
        <v>0</v>
      </c>
      <c r="I464" s="144">
        <f t="shared" si="112"/>
        <v>0</v>
      </c>
      <c r="J464" s="144">
        <f t="shared" si="112"/>
        <v>0</v>
      </c>
      <c r="K464" s="144">
        <f t="shared" si="112"/>
        <v>4739</v>
      </c>
      <c r="L464" s="144">
        <f t="shared" si="112"/>
        <v>0</v>
      </c>
      <c r="M464" s="144">
        <f t="shared" si="112"/>
        <v>0</v>
      </c>
      <c r="N464" s="144">
        <f t="shared" si="112"/>
        <v>0</v>
      </c>
      <c r="O464" s="144">
        <f t="shared" si="112"/>
        <v>4739</v>
      </c>
      <c r="P464" s="144">
        <f t="shared" si="112"/>
        <v>0</v>
      </c>
      <c r="Q464" s="144">
        <f t="shared" si="112"/>
        <v>0</v>
      </c>
      <c r="R464" s="144">
        <f t="shared" si="112"/>
        <v>0</v>
      </c>
      <c r="S464" s="144">
        <f t="shared" si="112"/>
        <v>0</v>
      </c>
      <c r="T464" s="144">
        <f t="shared" si="112"/>
        <v>0</v>
      </c>
      <c r="U464" s="144">
        <f t="shared" si="112"/>
        <v>0</v>
      </c>
      <c r="V464" s="144">
        <f t="shared" si="112"/>
        <v>7953</v>
      </c>
      <c r="W464" s="144">
        <f t="shared" si="112"/>
        <v>0</v>
      </c>
      <c r="X464" s="144">
        <f t="shared" si="112"/>
        <v>0</v>
      </c>
      <c r="Y464" s="144">
        <f t="shared" si="112"/>
        <v>293</v>
      </c>
      <c r="Z464" s="144">
        <f t="shared" si="112"/>
        <v>0</v>
      </c>
      <c r="AA464" s="144">
        <f t="shared" si="112"/>
        <v>0</v>
      </c>
      <c r="AB464" s="196">
        <f t="shared" si="112"/>
        <v>12985</v>
      </c>
      <c r="AC464" s="117"/>
      <c r="AD464" s="76"/>
      <c r="AE464" s="76"/>
      <c r="AF464" s="76"/>
      <c r="AG464" s="76"/>
      <c r="AH464" s="76"/>
      <c r="AI464" s="76"/>
      <c r="AJ464" s="110"/>
      <c r="AK464" s="110"/>
    </row>
    <row r="465" spans="1:37" ht="14.25" thickBot="1" x14ac:dyDescent="0.3">
      <c r="A465" s="619" t="s">
        <v>193</v>
      </c>
      <c r="B465" s="620"/>
      <c r="C465" s="620"/>
      <c r="D465" s="620"/>
      <c r="E465" s="330">
        <f>E441</f>
        <v>0</v>
      </c>
      <c r="F465" s="330">
        <f t="shared" ref="F465:AB465" si="113">F441</f>
        <v>454</v>
      </c>
      <c r="G465" s="330">
        <f t="shared" si="113"/>
        <v>87</v>
      </c>
      <c r="H465" s="330">
        <f t="shared" si="113"/>
        <v>83</v>
      </c>
      <c r="I465" s="330">
        <f t="shared" si="113"/>
        <v>284</v>
      </c>
      <c r="J465" s="330">
        <f t="shared" si="113"/>
        <v>0</v>
      </c>
      <c r="K465" s="330">
        <f t="shared" si="113"/>
        <v>87</v>
      </c>
      <c r="L465" s="330">
        <f t="shared" si="113"/>
        <v>41.5</v>
      </c>
      <c r="M465" s="330">
        <f t="shared" si="113"/>
        <v>142</v>
      </c>
      <c r="N465" s="330">
        <f t="shared" si="113"/>
        <v>0</v>
      </c>
      <c r="O465" s="330">
        <f t="shared" si="113"/>
        <v>270.5</v>
      </c>
      <c r="P465" s="330">
        <f t="shared" si="113"/>
        <v>41.5</v>
      </c>
      <c r="Q465" s="330">
        <f t="shared" si="113"/>
        <v>142</v>
      </c>
      <c r="R465" s="330">
        <f t="shared" si="113"/>
        <v>0</v>
      </c>
      <c r="S465" s="330">
        <f t="shared" si="113"/>
        <v>183.5</v>
      </c>
      <c r="T465" s="330">
        <f t="shared" si="113"/>
        <v>0</v>
      </c>
      <c r="U465" s="330">
        <f t="shared" si="113"/>
        <v>0</v>
      </c>
      <c r="V465" s="330">
        <f t="shared" si="113"/>
        <v>0</v>
      </c>
      <c r="W465" s="330">
        <f t="shared" si="113"/>
        <v>0</v>
      </c>
      <c r="X465" s="330">
        <f t="shared" si="113"/>
        <v>0</v>
      </c>
      <c r="Y465" s="330">
        <f t="shared" si="113"/>
        <v>1819</v>
      </c>
      <c r="Z465" s="330">
        <f t="shared" si="113"/>
        <v>0</v>
      </c>
      <c r="AA465" s="330">
        <f t="shared" si="113"/>
        <v>0</v>
      </c>
      <c r="AB465" s="331">
        <f t="shared" si="113"/>
        <v>2273</v>
      </c>
      <c r="AC465" s="117"/>
      <c r="AD465" s="76"/>
      <c r="AE465" s="76"/>
      <c r="AF465" s="76"/>
      <c r="AG465" s="76"/>
      <c r="AH465" s="76"/>
      <c r="AI465" s="76"/>
      <c r="AJ465" s="110"/>
      <c r="AK465" s="110"/>
    </row>
    <row r="466" spans="1:37" ht="14.25" thickBot="1" x14ac:dyDescent="0.3">
      <c r="A466" s="168"/>
      <c r="B466" s="332"/>
      <c r="C466" s="332"/>
      <c r="D466" s="332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9"/>
      <c r="R466" s="169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17"/>
      <c r="AD466" s="76"/>
      <c r="AE466" s="76"/>
      <c r="AF466" s="76"/>
      <c r="AG466" s="76"/>
      <c r="AH466" s="76"/>
      <c r="AI466" s="76"/>
      <c r="AJ466" s="110"/>
      <c r="AK466" s="110"/>
    </row>
    <row r="467" spans="1:37" s="81" customFormat="1" ht="14.25" thickBot="1" x14ac:dyDescent="0.3">
      <c r="A467" s="621" t="s">
        <v>200</v>
      </c>
      <c r="B467" s="622"/>
      <c r="C467" s="622"/>
      <c r="D467" s="622"/>
      <c r="E467" s="333">
        <f>E461-E464-E465</f>
        <v>55842.460000000006</v>
      </c>
      <c r="F467" s="333">
        <f t="shared" ref="F467:AK467" si="114">F461-F464-F465</f>
        <v>645047.46</v>
      </c>
      <c r="G467" s="333">
        <f t="shared" si="114"/>
        <v>155353.46</v>
      </c>
      <c r="H467" s="333">
        <f t="shared" si="114"/>
        <v>91761</v>
      </c>
      <c r="I467" s="333">
        <f t="shared" si="114"/>
        <v>221643</v>
      </c>
      <c r="J467" s="333">
        <f t="shared" si="114"/>
        <v>176290</v>
      </c>
      <c r="K467" s="333">
        <f t="shared" si="114"/>
        <v>155353.46</v>
      </c>
      <c r="L467" s="333">
        <f t="shared" si="114"/>
        <v>45881</v>
      </c>
      <c r="M467" s="333">
        <f t="shared" si="114"/>
        <v>110822</v>
      </c>
      <c r="N467" s="333">
        <f t="shared" si="114"/>
        <v>88145</v>
      </c>
      <c r="O467" s="333">
        <f t="shared" si="114"/>
        <v>400201.46</v>
      </c>
      <c r="P467" s="333">
        <f t="shared" si="114"/>
        <v>45881</v>
      </c>
      <c r="Q467" s="333">
        <f t="shared" si="114"/>
        <v>110822</v>
      </c>
      <c r="R467" s="333">
        <f t="shared" si="114"/>
        <v>88145</v>
      </c>
      <c r="S467" s="333">
        <f t="shared" si="114"/>
        <v>244848</v>
      </c>
      <c r="T467" s="333" t="e">
        <f t="shared" si="114"/>
        <v>#REF!</v>
      </c>
      <c r="U467" s="333">
        <f t="shared" si="114"/>
        <v>1238</v>
      </c>
      <c r="V467" s="333">
        <f t="shared" si="114"/>
        <v>77578</v>
      </c>
      <c r="W467" s="333" t="e">
        <f t="shared" si="114"/>
        <v>#REF!</v>
      </c>
      <c r="X467" s="333">
        <f t="shared" si="114"/>
        <v>10277</v>
      </c>
      <c r="Y467" s="333">
        <f t="shared" si="114"/>
        <v>1697461.54</v>
      </c>
      <c r="Z467" s="333">
        <f t="shared" si="114"/>
        <v>41968</v>
      </c>
      <c r="AA467" s="333">
        <f t="shared" si="114"/>
        <v>2450.5</v>
      </c>
      <c r="AB467" s="334">
        <f t="shared" si="114"/>
        <v>2462055</v>
      </c>
      <c r="AC467" s="335">
        <f t="shared" si="114"/>
        <v>0</v>
      </c>
      <c r="AD467" s="258">
        <f t="shared" si="114"/>
        <v>0</v>
      </c>
      <c r="AE467" s="258">
        <f t="shared" si="114"/>
        <v>0</v>
      </c>
      <c r="AF467" s="258">
        <f t="shared" si="114"/>
        <v>0</v>
      </c>
      <c r="AG467" s="258">
        <f t="shared" si="114"/>
        <v>0</v>
      </c>
      <c r="AH467" s="258">
        <f t="shared" si="114"/>
        <v>0</v>
      </c>
      <c r="AI467" s="258">
        <f t="shared" si="114"/>
        <v>0</v>
      </c>
      <c r="AJ467" s="258">
        <f t="shared" si="114"/>
        <v>0</v>
      </c>
      <c r="AK467" s="258">
        <f t="shared" si="114"/>
        <v>0</v>
      </c>
    </row>
    <row r="468" spans="1:37" s="81" customFormat="1" ht="14.25" thickBot="1" x14ac:dyDescent="0.3">
      <c r="A468" s="623" t="s">
        <v>201</v>
      </c>
      <c r="B468" s="624"/>
      <c r="C468" s="624"/>
      <c r="D468" s="624"/>
      <c r="E468" s="282">
        <f>E461-E462</f>
        <v>55842.460000000006</v>
      </c>
      <c r="F468" s="282">
        <f t="shared" ref="F468:AB468" si="115">F461-F462</f>
        <v>642823.46</v>
      </c>
      <c r="G468" s="282">
        <f t="shared" si="115"/>
        <v>154349.46</v>
      </c>
      <c r="H468" s="282">
        <f t="shared" si="115"/>
        <v>91761</v>
      </c>
      <c r="I468" s="282">
        <f t="shared" si="115"/>
        <v>220633</v>
      </c>
      <c r="J468" s="282">
        <f t="shared" si="115"/>
        <v>176080</v>
      </c>
      <c r="K468" s="282">
        <f t="shared" si="115"/>
        <v>154349.46</v>
      </c>
      <c r="L468" s="282">
        <f t="shared" si="115"/>
        <v>45881</v>
      </c>
      <c r="M468" s="282">
        <f t="shared" si="115"/>
        <v>110317</v>
      </c>
      <c r="N468" s="282">
        <f t="shared" si="115"/>
        <v>88040</v>
      </c>
      <c r="O468" s="282">
        <f t="shared" si="115"/>
        <v>399026.46</v>
      </c>
      <c r="P468" s="282">
        <f t="shared" si="115"/>
        <v>45881</v>
      </c>
      <c r="Q468" s="282">
        <f t="shared" si="115"/>
        <v>110317</v>
      </c>
      <c r="R468" s="282">
        <f t="shared" si="115"/>
        <v>88040</v>
      </c>
      <c r="S468" s="282">
        <f t="shared" si="115"/>
        <v>244238</v>
      </c>
      <c r="T468" s="282" t="e">
        <f t="shared" si="115"/>
        <v>#REF!</v>
      </c>
      <c r="U468" s="282">
        <f t="shared" si="115"/>
        <v>1238</v>
      </c>
      <c r="V468" s="282">
        <f t="shared" si="115"/>
        <v>76742</v>
      </c>
      <c r="W468" s="282" t="e">
        <f t="shared" si="115"/>
        <v>#REF!</v>
      </c>
      <c r="X468" s="282">
        <f t="shared" si="115"/>
        <v>10277</v>
      </c>
      <c r="Y468" s="282">
        <f t="shared" si="115"/>
        <v>1694301.54</v>
      </c>
      <c r="Z468" s="282">
        <f t="shared" si="115"/>
        <v>3395</v>
      </c>
      <c r="AA468" s="282">
        <f t="shared" si="115"/>
        <v>2450.5</v>
      </c>
      <c r="AB468" s="336">
        <f t="shared" si="115"/>
        <v>2417262</v>
      </c>
      <c r="AC468" s="337">
        <f t="shared" ref="AC468:AK468" si="116">AC467-AC463</f>
        <v>0</v>
      </c>
      <c r="AD468" s="338">
        <f t="shared" si="116"/>
        <v>0</v>
      </c>
      <c r="AE468" s="338">
        <f t="shared" si="116"/>
        <v>0</v>
      </c>
      <c r="AF468" s="338">
        <f t="shared" si="116"/>
        <v>0</v>
      </c>
      <c r="AG468" s="338">
        <f t="shared" si="116"/>
        <v>0</v>
      </c>
      <c r="AH468" s="338">
        <f t="shared" si="116"/>
        <v>0</v>
      </c>
      <c r="AI468" s="338">
        <f t="shared" si="116"/>
        <v>0</v>
      </c>
      <c r="AJ468" s="338">
        <f t="shared" si="116"/>
        <v>0</v>
      </c>
      <c r="AK468" s="338">
        <f t="shared" si="116"/>
        <v>0</v>
      </c>
    </row>
    <row r="469" spans="1:37" ht="14.25" thickBot="1" x14ac:dyDescent="0.3">
      <c r="A469" s="86"/>
      <c r="B469" s="339"/>
      <c r="C469" s="339"/>
      <c r="D469" s="339"/>
      <c r="E469" s="59"/>
      <c r="F469" s="59"/>
      <c r="G469" s="59"/>
      <c r="H469" s="86"/>
      <c r="I469" s="86"/>
      <c r="J469" s="86"/>
      <c r="K469" s="59"/>
      <c r="L469" s="88"/>
      <c r="M469" s="88"/>
      <c r="N469" s="340"/>
      <c r="O469" s="169"/>
      <c r="P469" s="169"/>
      <c r="Q469" s="169"/>
      <c r="R469" s="169"/>
      <c r="S469" s="168"/>
      <c r="T469" s="167"/>
      <c r="U469" s="167"/>
      <c r="V469" s="168"/>
      <c r="W469" s="167"/>
      <c r="X469" s="167"/>
      <c r="Y469" s="167"/>
      <c r="Z469" s="168"/>
      <c r="AA469" s="167"/>
      <c r="AB469" s="168"/>
      <c r="AC469" s="117"/>
      <c r="AD469" s="76"/>
      <c r="AE469" s="76"/>
      <c r="AF469" s="76"/>
      <c r="AG469" s="76"/>
      <c r="AH469" s="76"/>
      <c r="AI469" s="76"/>
      <c r="AJ469" s="110"/>
      <c r="AK469" s="110"/>
    </row>
    <row r="470" spans="1:37" ht="13.5" x14ac:dyDescent="0.25">
      <c r="A470" s="145"/>
      <c r="B470" s="341"/>
      <c r="C470" s="625" t="s">
        <v>202</v>
      </c>
      <c r="D470" s="626"/>
      <c r="E470" s="629"/>
      <c r="F470" s="629"/>
      <c r="G470" s="630"/>
      <c r="H470" s="631" t="s">
        <v>203</v>
      </c>
      <c r="I470" s="629"/>
      <c r="J470" s="632"/>
      <c r="K470" s="342"/>
      <c r="L470" s="88"/>
      <c r="M470" s="88"/>
      <c r="N470" s="88"/>
      <c r="O470" s="88"/>
      <c r="P470" s="88"/>
      <c r="Q470" s="88"/>
      <c r="R470" s="88"/>
      <c r="S470" s="86"/>
      <c r="T470" s="59"/>
      <c r="U470" s="59"/>
      <c r="V470" s="86"/>
      <c r="W470" s="343"/>
      <c r="X470" s="194"/>
      <c r="Y470" s="83"/>
      <c r="Z470" s="76"/>
      <c r="AA470" s="83"/>
      <c r="AB470" s="76"/>
      <c r="AC470" s="76"/>
      <c r="AD470" s="76"/>
      <c r="AE470" s="110"/>
      <c r="AF470" s="110"/>
      <c r="AG470" s="110"/>
    </row>
    <row r="471" spans="1:37" ht="27" x14ac:dyDescent="0.25">
      <c r="A471" s="145"/>
      <c r="B471" s="344"/>
      <c r="C471" s="627"/>
      <c r="D471" s="628"/>
      <c r="E471" s="118" t="s">
        <v>204</v>
      </c>
      <c r="F471" s="123" t="s">
        <v>205</v>
      </c>
      <c r="G471" s="345" t="s">
        <v>206</v>
      </c>
      <c r="H471" s="346" t="s">
        <v>204</v>
      </c>
      <c r="I471" s="118" t="s">
        <v>205</v>
      </c>
      <c r="J471" s="125" t="s">
        <v>206</v>
      </c>
      <c r="K471" s="342"/>
      <c r="L471" s="88"/>
      <c r="M471" s="88"/>
      <c r="N471" s="88"/>
      <c r="O471" s="88"/>
      <c r="P471" s="88"/>
      <c r="Q471" s="88"/>
      <c r="R471" s="88"/>
      <c r="S471" s="86"/>
      <c r="T471" s="59"/>
      <c r="U471" s="59"/>
      <c r="V471" s="86"/>
      <c r="W471" s="343"/>
      <c r="X471" s="194"/>
      <c r="Y471" s="83"/>
      <c r="Z471" s="76"/>
      <c r="AA471" s="83"/>
      <c r="AB471" s="76"/>
      <c r="AC471" s="76"/>
      <c r="AD471" s="76"/>
      <c r="AE471" s="110"/>
      <c r="AF471" s="110"/>
      <c r="AG471" s="110"/>
    </row>
    <row r="472" spans="1:37" ht="13.5" x14ac:dyDescent="0.25">
      <c r="A472" s="145"/>
      <c r="B472" s="347" t="s">
        <v>207</v>
      </c>
      <c r="C472" s="617">
        <f>F461</f>
        <v>650240.46</v>
      </c>
      <c r="D472" s="618"/>
      <c r="E472" s="348">
        <f>F468</f>
        <v>642823.46</v>
      </c>
      <c r="F472" s="349">
        <f>O468</f>
        <v>399026.46</v>
      </c>
      <c r="G472" s="350">
        <f>S468</f>
        <v>244238</v>
      </c>
      <c r="H472" s="351">
        <f>F467</f>
        <v>645047.46</v>
      </c>
      <c r="I472" s="348">
        <f>O467</f>
        <v>400201.46</v>
      </c>
      <c r="J472" s="352">
        <f>S467</f>
        <v>244848</v>
      </c>
      <c r="K472" s="342"/>
      <c r="L472" s="88"/>
      <c r="M472" s="88"/>
      <c r="N472" s="88"/>
      <c r="O472" s="88"/>
      <c r="P472" s="88"/>
      <c r="Q472" s="88"/>
      <c r="R472" s="88"/>
      <c r="S472" s="86"/>
      <c r="T472" s="59"/>
      <c r="U472" s="59"/>
      <c r="V472" s="86"/>
      <c r="W472" s="343"/>
      <c r="X472" s="194"/>
      <c r="Y472" s="83"/>
      <c r="Z472" s="76"/>
      <c r="AA472" s="83"/>
      <c r="AB472" s="76"/>
      <c r="AC472" s="76"/>
      <c r="AD472" s="76"/>
      <c r="AE472" s="110"/>
      <c r="AF472" s="110"/>
      <c r="AG472" s="110"/>
    </row>
    <row r="473" spans="1:37" ht="13.5" x14ac:dyDescent="0.25">
      <c r="A473" s="145"/>
      <c r="B473" s="347" t="s">
        <v>208</v>
      </c>
      <c r="C473" s="617">
        <f>G461</f>
        <v>160179.46</v>
      </c>
      <c r="D473" s="618"/>
      <c r="E473" s="348">
        <f>G468</f>
        <v>154349.46</v>
      </c>
      <c r="F473" s="349">
        <f>K468</f>
        <v>154349.46</v>
      </c>
      <c r="G473" s="350">
        <v>0</v>
      </c>
      <c r="H473" s="351">
        <f>G467</f>
        <v>155353.46</v>
      </c>
      <c r="I473" s="348">
        <f>K467</f>
        <v>155353.46</v>
      </c>
      <c r="J473" s="352"/>
      <c r="K473" s="342"/>
      <c r="L473" s="88"/>
      <c r="M473" s="88"/>
      <c r="N473" s="88"/>
      <c r="O473" s="88"/>
      <c r="P473" s="88"/>
      <c r="Q473" s="88"/>
      <c r="R473" s="88"/>
      <c r="S473" s="86"/>
      <c r="T473" s="59"/>
      <c r="U473" s="59"/>
      <c r="V473" s="86"/>
      <c r="W473" s="343"/>
      <c r="X473" s="194"/>
      <c r="Y473" s="83"/>
      <c r="Z473" s="76"/>
      <c r="AA473" s="83"/>
      <c r="AB473" s="76"/>
      <c r="AC473" s="76"/>
      <c r="AD473" s="76"/>
      <c r="AE473" s="110"/>
      <c r="AF473" s="110"/>
      <c r="AG473" s="110"/>
    </row>
    <row r="474" spans="1:37" ht="13.5" x14ac:dyDescent="0.25">
      <c r="A474" s="145"/>
      <c r="B474" s="347" t="s">
        <v>209</v>
      </c>
      <c r="C474" s="617">
        <f>H461</f>
        <v>91844</v>
      </c>
      <c r="D474" s="618"/>
      <c r="E474" s="348">
        <f>H468</f>
        <v>91761</v>
      </c>
      <c r="F474" s="349">
        <f>L468</f>
        <v>45881</v>
      </c>
      <c r="G474" s="350">
        <f>P468</f>
        <v>45881</v>
      </c>
      <c r="H474" s="351">
        <f>H467</f>
        <v>91761</v>
      </c>
      <c r="I474" s="348">
        <f>L467</f>
        <v>45881</v>
      </c>
      <c r="J474" s="352">
        <f>P467</f>
        <v>45881</v>
      </c>
      <c r="K474" s="342"/>
      <c r="L474" s="88"/>
      <c r="M474" s="88"/>
      <c r="N474" s="88"/>
      <c r="O474" s="88"/>
      <c r="P474" s="88"/>
      <c r="Q474" s="88"/>
      <c r="R474" s="88"/>
      <c r="S474" s="86"/>
      <c r="T474" s="59"/>
      <c r="U474" s="59"/>
      <c r="V474" s="86"/>
      <c r="W474" s="343"/>
      <c r="X474" s="194"/>
      <c r="Y474" s="83"/>
      <c r="Z474" s="76"/>
      <c r="AA474" s="83"/>
      <c r="AB474" s="76"/>
      <c r="AC474" s="76"/>
      <c r="AD474" s="76"/>
      <c r="AE474" s="110"/>
      <c r="AF474" s="110"/>
      <c r="AG474" s="110"/>
    </row>
    <row r="475" spans="1:37" ht="13.5" x14ac:dyDescent="0.25">
      <c r="A475" s="145"/>
      <c r="B475" s="347" t="s">
        <v>210</v>
      </c>
      <c r="C475" s="617">
        <f>I461</f>
        <v>221927</v>
      </c>
      <c r="D475" s="618"/>
      <c r="E475" s="348">
        <f>I468</f>
        <v>220633</v>
      </c>
      <c r="F475" s="349">
        <f>M468</f>
        <v>110317</v>
      </c>
      <c r="G475" s="350">
        <f>Q468</f>
        <v>110317</v>
      </c>
      <c r="H475" s="351">
        <f>I467</f>
        <v>221643</v>
      </c>
      <c r="I475" s="348">
        <f>M467</f>
        <v>110822</v>
      </c>
      <c r="J475" s="352">
        <f>Q467</f>
        <v>110822</v>
      </c>
      <c r="K475" s="342"/>
      <c r="L475" s="76"/>
      <c r="M475" s="76"/>
      <c r="N475" s="110"/>
      <c r="O475" s="110"/>
      <c r="P475" s="110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</row>
    <row r="476" spans="1:37" ht="13.5" x14ac:dyDescent="0.25">
      <c r="A476" s="145"/>
      <c r="B476" s="347" t="s">
        <v>211</v>
      </c>
      <c r="C476" s="617">
        <f>J461</f>
        <v>176290</v>
      </c>
      <c r="D476" s="618"/>
      <c r="E476" s="348">
        <f>J468</f>
        <v>176080</v>
      </c>
      <c r="F476" s="349">
        <f>N468</f>
        <v>88040</v>
      </c>
      <c r="G476" s="350">
        <f>R468</f>
        <v>88040</v>
      </c>
      <c r="H476" s="351">
        <f>J467</f>
        <v>176290</v>
      </c>
      <c r="I476" s="348">
        <f>N467</f>
        <v>88145</v>
      </c>
      <c r="J476" s="352">
        <f>R467</f>
        <v>88145</v>
      </c>
      <c r="K476" s="342"/>
      <c r="L476" s="76"/>
      <c r="M476" s="76"/>
      <c r="N476" s="110"/>
      <c r="O476" s="110"/>
      <c r="P476" s="110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</row>
    <row r="477" spans="1:37" ht="13.5" x14ac:dyDescent="0.25">
      <c r="A477" s="145"/>
      <c r="B477" s="347" t="s">
        <v>102</v>
      </c>
      <c r="C477" s="617">
        <f>Y461</f>
        <v>1699573.54</v>
      </c>
      <c r="D477" s="618"/>
      <c r="E477" s="601">
        <f>Y468</f>
        <v>1694301.54</v>
      </c>
      <c r="F477" s="601"/>
      <c r="G477" s="602"/>
      <c r="H477" s="603">
        <f>Y467</f>
        <v>1697461.54</v>
      </c>
      <c r="I477" s="601"/>
      <c r="J477" s="604"/>
      <c r="K477" s="342"/>
      <c r="L477" s="76"/>
      <c r="M477" s="76"/>
      <c r="N477" s="110"/>
      <c r="O477" s="110"/>
      <c r="P477" s="110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</row>
    <row r="478" spans="1:37" ht="14.25" thickBot="1" x14ac:dyDescent="0.3">
      <c r="A478" s="145"/>
      <c r="B478" s="353" t="s">
        <v>99</v>
      </c>
      <c r="C478" s="605">
        <f>V461+Z467</f>
        <v>127499</v>
      </c>
      <c r="D478" s="606"/>
      <c r="E478" s="607">
        <f>V468+Z468</f>
        <v>80137</v>
      </c>
      <c r="F478" s="607"/>
      <c r="G478" s="608"/>
      <c r="H478" s="609">
        <f>V467+Z467</f>
        <v>119546</v>
      </c>
      <c r="I478" s="607"/>
      <c r="J478" s="610"/>
      <c r="K478" s="342"/>
      <c r="L478" s="76"/>
      <c r="M478" s="110"/>
      <c r="N478" s="110"/>
      <c r="O478" s="110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</row>
    <row r="479" spans="1:37" ht="14.25" thickBot="1" x14ac:dyDescent="0.3">
      <c r="A479" s="354"/>
      <c r="B479" s="355" t="s">
        <v>115</v>
      </c>
      <c r="C479" s="611">
        <f>C472+C477+C478</f>
        <v>2477313</v>
      </c>
      <c r="D479" s="612"/>
      <c r="E479" s="613">
        <f>E472+E477+E478</f>
        <v>2417262</v>
      </c>
      <c r="F479" s="614"/>
      <c r="G479" s="615"/>
      <c r="H479" s="613">
        <f>H472+H477+H478</f>
        <v>2462055</v>
      </c>
      <c r="I479" s="614"/>
      <c r="J479" s="616"/>
      <c r="K479" s="356"/>
      <c r="L479" s="76"/>
      <c r="M479" s="76"/>
      <c r="N479" s="76"/>
      <c r="O479" s="76"/>
      <c r="P479" s="76"/>
      <c r="Q479" s="76"/>
      <c r="R479" s="110"/>
      <c r="S479" s="110"/>
      <c r="T479" s="65"/>
      <c r="U479" s="65"/>
      <c r="V479" s="65"/>
      <c r="W479" s="65"/>
      <c r="X479" s="65"/>
      <c r="Y479" s="65"/>
      <c r="Z479" s="65"/>
      <c r="AA479" s="65"/>
      <c r="AB479" s="65"/>
    </row>
    <row r="480" spans="1:37" ht="13.5" x14ac:dyDescent="0.25">
      <c r="A480" s="86"/>
      <c r="B480" s="339"/>
      <c r="C480" s="339"/>
      <c r="D480" s="339"/>
      <c r="E480" s="59"/>
      <c r="F480" s="59"/>
      <c r="G480" s="59"/>
      <c r="H480" s="86"/>
      <c r="I480" s="86"/>
      <c r="J480" s="86"/>
      <c r="K480" s="59"/>
      <c r="L480" s="76"/>
      <c r="M480" s="76"/>
      <c r="N480" s="76"/>
      <c r="O480" s="76"/>
      <c r="P480" s="76"/>
      <c r="Q480" s="76"/>
      <c r="R480" s="110"/>
      <c r="S480" s="110"/>
      <c r="T480" s="65"/>
      <c r="U480" s="65"/>
      <c r="V480" s="65"/>
      <c r="W480" s="65"/>
      <c r="X480" s="65"/>
      <c r="Y480" s="65"/>
      <c r="Z480" s="65"/>
      <c r="AA480" s="65"/>
      <c r="AB480" s="65"/>
    </row>
    <row r="481" spans="1:83" ht="13.5" x14ac:dyDescent="0.25">
      <c r="A481" s="86"/>
      <c r="B481" s="339"/>
      <c r="C481" s="339"/>
      <c r="D481" s="339"/>
      <c r="E481" s="59"/>
      <c r="F481" s="59"/>
      <c r="G481" s="59"/>
      <c r="H481" s="86"/>
      <c r="I481" s="86"/>
      <c r="J481" s="86"/>
      <c r="K481" s="59"/>
      <c r="L481" s="88"/>
      <c r="M481" s="88"/>
      <c r="N481" s="88"/>
      <c r="O481" s="88"/>
      <c r="P481" s="88"/>
      <c r="Q481" s="88"/>
      <c r="R481" s="88"/>
      <c r="S481" s="86"/>
      <c r="T481" s="59"/>
      <c r="U481" s="59"/>
      <c r="V481" s="86"/>
      <c r="W481" s="59"/>
      <c r="X481" s="59"/>
      <c r="Y481" s="59"/>
      <c r="Z481" s="86"/>
      <c r="AA481" s="59"/>
      <c r="AB481" s="86"/>
      <c r="AC481" s="117"/>
      <c r="AD481" s="76"/>
      <c r="AE481" s="76"/>
      <c r="AF481" s="76"/>
      <c r="AG481" s="76"/>
      <c r="AH481" s="76"/>
      <c r="AI481" s="76"/>
      <c r="AJ481" s="110"/>
      <c r="AK481" s="110"/>
    </row>
    <row r="482" spans="1:83" ht="13.5" x14ac:dyDescent="0.25">
      <c r="A482" s="86"/>
      <c r="B482" s="339"/>
      <c r="C482" s="339"/>
      <c r="D482" s="339"/>
      <c r="E482" s="59"/>
      <c r="F482" s="59"/>
      <c r="G482" s="59"/>
      <c r="H482" s="86"/>
      <c r="I482" s="86"/>
      <c r="J482" s="86"/>
      <c r="K482" s="59"/>
      <c r="L482" s="88"/>
      <c r="M482" s="88"/>
      <c r="N482" s="88"/>
      <c r="O482" s="88"/>
      <c r="P482" s="88"/>
      <c r="Q482" s="88"/>
      <c r="R482" s="88"/>
      <c r="S482" s="86"/>
      <c r="T482" s="59"/>
      <c r="U482" s="59"/>
      <c r="V482" s="86"/>
      <c r="W482" s="59"/>
      <c r="X482" s="59"/>
      <c r="Y482" s="59"/>
      <c r="Z482" s="86"/>
      <c r="AA482" s="59"/>
      <c r="AB482" s="86"/>
      <c r="AC482" s="117"/>
      <c r="AD482" s="76"/>
      <c r="AE482" s="76"/>
      <c r="AF482" s="76"/>
      <c r="AG482" s="76"/>
      <c r="AH482" s="76"/>
      <c r="AI482" s="76"/>
      <c r="AJ482" s="110"/>
      <c r="AK482" s="110"/>
    </row>
    <row r="483" spans="1:83" ht="13.5" x14ac:dyDescent="0.25">
      <c r="A483" s="86"/>
      <c r="B483" s="339"/>
      <c r="C483" s="339"/>
      <c r="D483" s="339"/>
      <c r="E483" s="59"/>
      <c r="F483" s="59"/>
      <c r="G483" s="59"/>
      <c r="H483" s="86"/>
      <c r="I483" s="86"/>
      <c r="J483" s="86"/>
      <c r="K483" s="59"/>
      <c r="L483" s="88"/>
      <c r="M483" s="88"/>
      <c r="N483" s="88"/>
      <c r="O483" s="88"/>
      <c r="P483" s="88"/>
      <c r="Q483" s="88"/>
      <c r="R483" s="88"/>
      <c r="S483" s="86"/>
      <c r="T483" s="59"/>
      <c r="U483" s="59"/>
      <c r="V483" s="86"/>
      <c r="W483" s="59"/>
      <c r="X483" s="59"/>
      <c r="Y483" s="59"/>
      <c r="Z483" s="86"/>
      <c r="AA483" s="59"/>
      <c r="AB483" s="86"/>
      <c r="AC483" s="117"/>
      <c r="AD483" s="76"/>
      <c r="AE483" s="76"/>
      <c r="AF483" s="76"/>
      <c r="AG483" s="76"/>
      <c r="AH483" s="76"/>
      <c r="AI483" s="76"/>
      <c r="AJ483" s="110"/>
      <c r="AK483" s="110"/>
    </row>
    <row r="484" spans="1:83" ht="13.5" x14ac:dyDescent="0.25">
      <c r="A484" s="76"/>
      <c r="B484" s="357"/>
      <c r="C484" s="357"/>
      <c r="D484" s="357"/>
      <c r="E484" s="83"/>
      <c r="F484" s="83"/>
      <c r="G484" s="83"/>
      <c r="H484" s="76"/>
      <c r="I484" s="76"/>
      <c r="J484" s="76"/>
      <c r="K484" s="83"/>
      <c r="L484" s="79"/>
      <c r="M484" s="79"/>
      <c r="N484" s="79"/>
      <c r="O484" s="79"/>
      <c r="P484" s="79"/>
      <c r="Q484" s="79"/>
      <c r="R484" s="79"/>
      <c r="S484" s="76"/>
      <c r="T484" s="83"/>
      <c r="U484" s="83"/>
      <c r="V484" s="76"/>
      <c r="W484" s="83"/>
      <c r="X484" s="83"/>
      <c r="Y484" s="83"/>
      <c r="Z484" s="76"/>
      <c r="AA484" s="83"/>
      <c r="AB484" s="76"/>
      <c r="AC484" s="118"/>
      <c r="AD484" s="76"/>
      <c r="AE484" s="76"/>
      <c r="AF484" s="76"/>
      <c r="AG484" s="76"/>
      <c r="AH484" s="76"/>
      <c r="AI484" s="76"/>
      <c r="AJ484" s="110"/>
      <c r="AK484" s="110"/>
    </row>
    <row r="485" spans="1:83" ht="13.5" x14ac:dyDescent="0.25">
      <c r="A485" s="590" t="s">
        <v>33</v>
      </c>
      <c r="B485" s="591" t="s">
        <v>91</v>
      </c>
      <c r="C485" s="592"/>
      <c r="D485" s="593"/>
      <c r="E485" s="588"/>
      <c r="F485" s="586" t="s">
        <v>93</v>
      </c>
      <c r="G485" s="582" t="s">
        <v>94</v>
      </c>
      <c r="H485" s="582"/>
      <c r="I485" s="582"/>
      <c r="J485" s="582"/>
      <c r="K485" s="600" t="s">
        <v>95</v>
      </c>
      <c r="L485" s="600"/>
      <c r="M485" s="600"/>
      <c r="N485" s="600"/>
      <c r="O485" s="600"/>
      <c r="P485" s="585" t="s">
        <v>96</v>
      </c>
      <c r="Q485" s="585"/>
      <c r="R485" s="585"/>
      <c r="S485" s="585"/>
      <c r="T485" s="587" t="s">
        <v>97</v>
      </c>
      <c r="U485" s="588" t="s">
        <v>98</v>
      </c>
      <c r="V485" s="589" t="s">
        <v>183</v>
      </c>
      <c r="W485" s="586" t="s">
        <v>100</v>
      </c>
      <c r="X485" s="586" t="s">
        <v>101</v>
      </c>
      <c r="Y485" s="358"/>
      <c r="Z485" s="278"/>
      <c r="AA485" s="586" t="s">
        <v>104</v>
      </c>
      <c r="AB485" s="278"/>
      <c r="AC485" s="578" t="s">
        <v>106</v>
      </c>
      <c r="AD485" s="578" t="s">
        <v>107</v>
      </c>
      <c r="AE485" s="578" t="s">
        <v>108</v>
      </c>
      <c r="AF485" s="578" t="s">
        <v>109</v>
      </c>
      <c r="AG485" s="578" t="s">
        <v>110</v>
      </c>
      <c r="AH485" s="578" t="s">
        <v>111</v>
      </c>
      <c r="AI485" s="578" t="s">
        <v>112</v>
      </c>
      <c r="AJ485" s="579" t="s">
        <v>113</v>
      </c>
      <c r="AK485" s="581" t="s">
        <v>114</v>
      </c>
    </row>
    <row r="486" spans="1:83" x14ac:dyDescent="0.25">
      <c r="A486" s="590"/>
      <c r="B486" s="594"/>
      <c r="C486" s="595"/>
      <c r="D486" s="596"/>
      <c r="E486" s="588"/>
      <c r="F486" s="586"/>
      <c r="G486" s="582">
        <v>1</v>
      </c>
      <c r="H486" s="583">
        <v>2</v>
      </c>
      <c r="I486" s="583">
        <v>3</v>
      </c>
      <c r="J486" s="583">
        <v>4</v>
      </c>
      <c r="K486" s="600"/>
      <c r="L486" s="600"/>
      <c r="M486" s="600"/>
      <c r="N486" s="600"/>
      <c r="O486" s="600"/>
      <c r="P486" s="584">
        <v>2</v>
      </c>
      <c r="Q486" s="585">
        <v>3</v>
      </c>
      <c r="R486" s="585">
        <v>4</v>
      </c>
      <c r="S486" s="589" t="s">
        <v>115</v>
      </c>
      <c r="T486" s="587"/>
      <c r="U486" s="588"/>
      <c r="V486" s="589"/>
      <c r="W486" s="586"/>
      <c r="X486" s="586"/>
      <c r="Y486" s="358"/>
      <c r="Z486" s="278"/>
      <c r="AA486" s="586"/>
      <c r="AB486" s="278"/>
      <c r="AC486" s="578"/>
      <c r="AD486" s="578"/>
      <c r="AE486" s="578"/>
      <c r="AF486" s="578"/>
      <c r="AG486" s="578"/>
      <c r="AH486" s="578"/>
      <c r="AI486" s="578"/>
      <c r="AJ486" s="580"/>
      <c r="AK486" s="581"/>
    </row>
    <row r="487" spans="1:83" ht="15.75" x14ac:dyDescent="0.25">
      <c r="A487" s="590"/>
      <c r="B487" s="597"/>
      <c r="C487" s="598"/>
      <c r="D487" s="599"/>
      <c r="E487" s="588"/>
      <c r="F487" s="586"/>
      <c r="G487" s="582"/>
      <c r="H487" s="583"/>
      <c r="I487" s="583"/>
      <c r="J487" s="583"/>
      <c r="K487" s="359">
        <v>1</v>
      </c>
      <c r="L487" s="360">
        <v>2</v>
      </c>
      <c r="M487" s="360">
        <v>3</v>
      </c>
      <c r="N487" s="360">
        <v>4</v>
      </c>
      <c r="O487" s="93" t="s">
        <v>115</v>
      </c>
      <c r="P487" s="584"/>
      <c r="Q487" s="585"/>
      <c r="R487" s="585"/>
      <c r="S487" s="589"/>
      <c r="T487" s="587"/>
      <c r="U487" s="588"/>
      <c r="V487" s="589"/>
      <c r="W487" s="586"/>
      <c r="X487" s="586"/>
      <c r="Y487" s="358" t="s">
        <v>184</v>
      </c>
      <c r="Z487" s="278"/>
      <c r="AA487" s="586"/>
      <c r="AB487" s="278"/>
      <c r="AC487" s="578"/>
      <c r="AD487" s="578"/>
      <c r="AE487" s="578"/>
      <c r="AF487" s="578"/>
      <c r="AG487" s="578"/>
      <c r="AH487" s="578"/>
      <c r="AI487" s="578"/>
      <c r="AJ487" s="580"/>
      <c r="AK487" s="5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</row>
    <row r="488" spans="1:83" s="102" customFormat="1" ht="13.5" x14ac:dyDescent="0.25">
      <c r="A488" s="206">
        <v>1</v>
      </c>
      <c r="B488" s="577">
        <f>A488+1</f>
        <v>2</v>
      </c>
      <c r="C488" s="577"/>
      <c r="D488" s="577"/>
      <c r="E488" s="204"/>
      <c r="F488" s="123"/>
      <c r="G488" s="123">
        <v>4</v>
      </c>
      <c r="H488" s="118">
        <v>5</v>
      </c>
      <c r="I488" s="118">
        <v>6</v>
      </c>
      <c r="J488" s="118">
        <v>7</v>
      </c>
      <c r="K488" s="204"/>
      <c r="L488" s="361"/>
      <c r="M488" s="361"/>
      <c r="N488" s="361"/>
      <c r="O488" s="361">
        <v>8</v>
      </c>
      <c r="P488" s="124"/>
      <c r="Q488" s="124">
        <v>9</v>
      </c>
      <c r="R488" s="124">
        <v>10</v>
      </c>
      <c r="S488" s="118">
        <v>11</v>
      </c>
      <c r="T488" s="204">
        <v>11</v>
      </c>
      <c r="U488" s="204">
        <v>12</v>
      </c>
      <c r="V488" s="118"/>
      <c r="W488" s="123">
        <v>14</v>
      </c>
      <c r="X488" s="123">
        <v>15</v>
      </c>
      <c r="Y488" s="123"/>
      <c r="Z488" s="118"/>
      <c r="AA488" s="123">
        <v>15</v>
      </c>
      <c r="AB488" s="118"/>
      <c r="AC488" s="101">
        <v>17</v>
      </c>
      <c r="AD488" s="101">
        <v>18</v>
      </c>
      <c r="AE488" s="101">
        <v>19</v>
      </c>
      <c r="AF488" s="101">
        <v>20</v>
      </c>
      <c r="AG488" s="101">
        <v>21</v>
      </c>
      <c r="AH488" s="101">
        <v>22</v>
      </c>
      <c r="AI488" s="101">
        <v>23</v>
      </c>
      <c r="AJ488" s="101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</row>
    <row r="489" spans="1:83" ht="13.5" x14ac:dyDescent="0.25">
      <c r="A489" s="118"/>
      <c r="B489" s="575" t="s">
        <v>152</v>
      </c>
      <c r="C489" s="575"/>
      <c r="D489" s="575"/>
      <c r="E489" s="123"/>
      <c r="F489" s="123"/>
      <c r="G489" s="123"/>
      <c r="H489" s="118"/>
      <c r="I489" s="118"/>
      <c r="J489" s="118"/>
      <c r="K489" s="123"/>
      <c r="L489" s="124"/>
      <c r="M489" s="124"/>
      <c r="N489" s="124"/>
      <c r="O489" s="124"/>
      <c r="P489" s="124"/>
      <c r="Q489" s="124"/>
      <c r="R489" s="124"/>
      <c r="S489" s="118"/>
      <c r="T489" s="126"/>
      <c r="U489" s="123"/>
      <c r="V489" s="118"/>
      <c r="W489" s="123"/>
      <c r="X489" s="123"/>
      <c r="Y489" s="123">
        <v>27040</v>
      </c>
      <c r="Z489" s="118"/>
      <c r="AA489" s="123"/>
      <c r="AB489" s="118"/>
      <c r="AC489" s="118"/>
      <c r="AD489" s="76"/>
      <c r="AE489" s="76"/>
      <c r="AF489" s="76"/>
      <c r="AG489" s="76"/>
      <c r="AH489" s="76"/>
      <c r="AI489" s="76"/>
      <c r="AJ489" s="110"/>
      <c r="AK489" s="110"/>
    </row>
    <row r="490" spans="1:83" ht="13.5" x14ac:dyDescent="0.25">
      <c r="A490" s="118"/>
      <c r="B490" s="575" t="s">
        <v>212</v>
      </c>
      <c r="C490" s="575"/>
      <c r="D490" s="575"/>
      <c r="E490" s="123"/>
      <c r="F490" s="123"/>
      <c r="G490" s="123"/>
      <c r="H490" s="118"/>
      <c r="I490" s="118"/>
      <c r="J490" s="118"/>
      <c r="K490" s="123"/>
      <c r="L490" s="124"/>
      <c r="M490" s="124"/>
      <c r="N490" s="124"/>
      <c r="O490" s="124"/>
      <c r="P490" s="124"/>
      <c r="Q490" s="124"/>
      <c r="R490" s="124"/>
      <c r="S490" s="118"/>
      <c r="T490" s="123"/>
      <c r="U490" s="123"/>
      <c r="V490" s="118"/>
      <c r="W490" s="123"/>
      <c r="X490" s="123"/>
      <c r="Y490" s="123">
        <v>25584</v>
      </c>
      <c r="Z490" s="118"/>
      <c r="AA490" s="123"/>
      <c r="AB490" s="118"/>
      <c r="AC490" s="118"/>
      <c r="AD490" s="76"/>
      <c r="AE490" s="76"/>
      <c r="AF490" s="76"/>
      <c r="AG490" s="76"/>
      <c r="AH490" s="76"/>
      <c r="AI490" s="76"/>
      <c r="AJ490" s="110"/>
      <c r="AK490" s="110"/>
    </row>
    <row r="491" spans="1:83" ht="13.5" x14ac:dyDescent="0.25">
      <c r="A491" s="118"/>
      <c r="B491" s="575" t="s">
        <v>213</v>
      </c>
      <c r="C491" s="575"/>
      <c r="D491" s="575"/>
      <c r="E491" s="123"/>
      <c r="F491" s="123"/>
      <c r="G491" s="123"/>
      <c r="H491" s="118"/>
      <c r="I491" s="118"/>
      <c r="J491" s="118"/>
      <c r="K491" s="123"/>
      <c r="L491" s="124"/>
      <c r="M491" s="124"/>
      <c r="N491" s="124"/>
      <c r="O491" s="124"/>
      <c r="P491" s="124"/>
      <c r="Q491" s="124"/>
      <c r="R491" s="124"/>
      <c r="S491" s="118"/>
      <c r="T491" s="123"/>
      <c r="U491" s="123"/>
      <c r="V491" s="118"/>
      <c r="W491" s="123"/>
      <c r="X491" s="123"/>
      <c r="Y491" s="123">
        <v>44261</v>
      </c>
      <c r="Z491" s="118"/>
      <c r="AA491" s="123"/>
      <c r="AB491" s="118"/>
      <c r="AC491" s="118"/>
      <c r="AD491" s="76"/>
      <c r="AE491" s="76"/>
      <c r="AF491" s="76"/>
      <c r="AG491" s="76"/>
      <c r="AH491" s="76"/>
      <c r="AI491" s="76"/>
      <c r="AJ491" s="110"/>
      <c r="AK491" s="110"/>
    </row>
    <row r="492" spans="1:83" ht="13.5" x14ac:dyDescent="0.25">
      <c r="A492" s="118"/>
      <c r="B492" s="575" t="s">
        <v>214</v>
      </c>
      <c r="C492" s="575"/>
      <c r="D492" s="575"/>
      <c r="E492" s="123"/>
      <c r="F492" s="123"/>
      <c r="G492" s="123"/>
      <c r="H492" s="118"/>
      <c r="I492" s="118"/>
      <c r="J492" s="118"/>
      <c r="K492" s="123"/>
      <c r="L492" s="124"/>
      <c r="M492" s="124"/>
      <c r="N492" s="124"/>
      <c r="O492" s="124"/>
      <c r="P492" s="124"/>
      <c r="Q492" s="124"/>
      <c r="R492" s="124"/>
      <c r="S492" s="118"/>
      <c r="T492" s="123"/>
      <c r="U492" s="123"/>
      <c r="V492" s="118">
        <v>745</v>
      </c>
      <c r="W492" s="123"/>
      <c r="X492" s="123"/>
      <c r="Y492" s="123"/>
      <c r="Z492" s="118"/>
      <c r="AA492" s="123"/>
      <c r="AB492" s="118"/>
      <c r="AC492" s="118"/>
      <c r="AD492" s="76"/>
      <c r="AE492" s="76"/>
      <c r="AF492" s="76"/>
      <c r="AG492" s="76"/>
      <c r="AH492" s="76"/>
      <c r="AI492" s="76"/>
      <c r="AJ492" s="110"/>
      <c r="AK492" s="110"/>
    </row>
    <row r="493" spans="1:83" ht="13.5" x14ac:dyDescent="0.25">
      <c r="A493" s="118"/>
      <c r="B493" s="575" t="s">
        <v>215</v>
      </c>
      <c r="C493" s="575"/>
      <c r="D493" s="575"/>
      <c r="E493" s="123"/>
      <c r="F493" s="123"/>
      <c r="G493" s="123"/>
      <c r="H493" s="118"/>
      <c r="I493" s="118"/>
      <c r="J493" s="118"/>
      <c r="K493" s="123"/>
      <c r="L493" s="124"/>
      <c r="M493" s="124"/>
      <c r="N493" s="124"/>
      <c r="O493" s="124"/>
      <c r="P493" s="124"/>
      <c r="Q493" s="124"/>
      <c r="R493" s="124"/>
      <c r="S493" s="118"/>
      <c r="T493" s="123"/>
      <c r="U493" s="123"/>
      <c r="V493" s="118"/>
      <c r="W493" s="123"/>
      <c r="X493" s="123"/>
      <c r="Y493" s="123">
        <v>3373</v>
      </c>
      <c r="Z493" s="118"/>
      <c r="AA493" s="123"/>
      <c r="AB493" s="118"/>
      <c r="AC493" s="118"/>
      <c r="AD493" s="76"/>
      <c r="AE493" s="76"/>
      <c r="AF493" s="76"/>
      <c r="AG493" s="76"/>
      <c r="AH493" s="76"/>
      <c r="AI493" s="76"/>
      <c r="AJ493" s="110"/>
      <c r="AK493" s="110"/>
    </row>
    <row r="494" spans="1:83" ht="13.5" x14ac:dyDescent="0.25">
      <c r="A494" s="118"/>
      <c r="B494" s="575" t="s">
        <v>216</v>
      </c>
      <c r="C494" s="575"/>
      <c r="D494" s="575"/>
      <c r="E494" s="123"/>
      <c r="F494" s="123">
        <v>162</v>
      </c>
      <c r="G494" s="123"/>
      <c r="H494" s="118"/>
      <c r="I494" s="118">
        <v>162</v>
      </c>
      <c r="J494" s="118"/>
      <c r="K494" s="123"/>
      <c r="L494" s="124"/>
      <c r="M494" s="124"/>
      <c r="N494" s="124"/>
      <c r="O494" s="124"/>
      <c r="P494" s="124"/>
      <c r="Q494" s="124"/>
      <c r="R494" s="124"/>
      <c r="S494" s="118"/>
      <c r="T494" s="123"/>
      <c r="U494" s="123"/>
      <c r="V494" s="118"/>
      <c r="W494" s="123"/>
      <c r="X494" s="123"/>
      <c r="Y494" s="123"/>
      <c r="Z494" s="118"/>
      <c r="AA494" s="123"/>
      <c r="AB494" s="118"/>
      <c r="AC494" s="118"/>
      <c r="AD494" s="76"/>
      <c r="AE494" s="76"/>
      <c r="AF494" s="76"/>
      <c r="AG494" s="76"/>
      <c r="AH494" s="76"/>
      <c r="AI494" s="76"/>
      <c r="AJ494" s="110"/>
      <c r="AK494" s="110"/>
    </row>
    <row r="495" spans="1:83" ht="13.5" x14ac:dyDescent="0.25">
      <c r="A495" s="118"/>
      <c r="B495" s="575" t="s">
        <v>217</v>
      </c>
      <c r="C495" s="575"/>
      <c r="D495" s="575"/>
      <c r="E495" s="123"/>
      <c r="F495" s="123">
        <v>738</v>
      </c>
      <c r="G495" s="123">
        <v>174</v>
      </c>
      <c r="H495" s="118"/>
      <c r="I495" s="118">
        <v>564</v>
      </c>
      <c r="J495" s="118"/>
      <c r="K495" s="123"/>
      <c r="L495" s="124"/>
      <c r="M495" s="124"/>
      <c r="N495" s="124"/>
      <c r="O495" s="124"/>
      <c r="P495" s="124"/>
      <c r="Q495" s="124"/>
      <c r="R495" s="124"/>
      <c r="S495" s="118"/>
      <c r="T495" s="123"/>
      <c r="U495" s="123"/>
      <c r="V495" s="118"/>
      <c r="W495" s="123"/>
      <c r="X495" s="123"/>
      <c r="Y495" s="123">
        <v>137</v>
      </c>
      <c r="Z495" s="118"/>
      <c r="AA495" s="123"/>
      <c r="AB495" s="118"/>
      <c r="AC495" s="118"/>
      <c r="AD495" s="76"/>
      <c r="AE495" s="76"/>
      <c r="AF495" s="76"/>
      <c r="AG495" s="76"/>
      <c r="AH495" s="76"/>
      <c r="AI495" s="76"/>
      <c r="AJ495" s="110"/>
      <c r="AK495" s="110"/>
    </row>
    <row r="496" spans="1:83" ht="13.5" x14ac:dyDescent="0.25">
      <c r="A496" s="118"/>
      <c r="B496" s="575" t="s">
        <v>218</v>
      </c>
      <c r="C496" s="575"/>
      <c r="D496" s="575"/>
      <c r="E496" s="123"/>
      <c r="F496" s="123"/>
      <c r="G496" s="123"/>
      <c r="H496" s="118"/>
      <c r="I496" s="118"/>
      <c r="J496" s="118"/>
      <c r="K496" s="123"/>
      <c r="L496" s="124"/>
      <c r="M496" s="124"/>
      <c r="N496" s="124"/>
      <c r="O496" s="124"/>
      <c r="P496" s="124"/>
      <c r="Q496" s="124"/>
      <c r="R496" s="124"/>
      <c r="S496" s="118"/>
      <c r="T496" s="123"/>
      <c r="U496" s="123"/>
      <c r="V496" s="118"/>
      <c r="W496" s="123"/>
      <c r="X496" s="123"/>
      <c r="Y496" s="123">
        <v>8071</v>
      </c>
      <c r="Z496" s="118"/>
      <c r="AA496" s="123"/>
      <c r="AB496" s="118"/>
      <c r="AC496" s="118"/>
      <c r="AD496" s="76"/>
      <c r="AE496" s="76"/>
      <c r="AF496" s="76"/>
      <c r="AG496" s="76"/>
      <c r="AH496" s="76"/>
      <c r="AI496" s="76"/>
      <c r="AJ496" s="110"/>
      <c r="AK496" s="110"/>
    </row>
    <row r="497" spans="1:37" ht="13.5" x14ac:dyDescent="0.25">
      <c r="A497" s="118"/>
      <c r="B497" s="575" t="s">
        <v>164</v>
      </c>
      <c r="C497" s="575"/>
      <c r="D497" s="575"/>
      <c r="E497" s="123"/>
      <c r="F497" s="123"/>
      <c r="G497" s="123"/>
      <c r="H497" s="118"/>
      <c r="I497" s="118"/>
      <c r="J497" s="118"/>
      <c r="K497" s="123"/>
      <c r="L497" s="124"/>
      <c r="M497" s="124"/>
      <c r="N497" s="124"/>
      <c r="O497" s="124"/>
      <c r="P497" s="124"/>
      <c r="Q497" s="124"/>
      <c r="R497" s="124"/>
      <c r="S497" s="118"/>
      <c r="T497" s="123"/>
      <c r="U497" s="123"/>
      <c r="V497" s="118"/>
      <c r="W497" s="123"/>
      <c r="X497" s="123"/>
      <c r="Y497" s="123">
        <v>8057</v>
      </c>
      <c r="Z497" s="118"/>
      <c r="AA497" s="123"/>
      <c r="AB497" s="118"/>
      <c r="AC497" s="118"/>
      <c r="AD497" s="76"/>
      <c r="AE497" s="76"/>
      <c r="AF497" s="76"/>
      <c r="AG497" s="76"/>
      <c r="AH497" s="76"/>
      <c r="AI497" s="76"/>
      <c r="AJ497" s="110"/>
      <c r="AK497" s="110"/>
    </row>
    <row r="498" spans="1:37" ht="13.5" x14ac:dyDescent="0.25">
      <c r="A498" s="118"/>
      <c r="B498" s="575" t="s">
        <v>165</v>
      </c>
      <c r="C498" s="575"/>
      <c r="D498" s="575"/>
      <c r="E498" s="123"/>
      <c r="F498" s="123"/>
      <c r="G498" s="123"/>
      <c r="H498" s="118"/>
      <c r="I498" s="118"/>
      <c r="J498" s="118"/>
      <c r="K498" s="123"/>
      <c r="L498" s="124"/>
      <c r="M498" s="124"/>
      <c r="N498" s="124"/>
      <c r="O498" s="124"/>
      <c r="P498" s="124"/>
      <c r="Q498" s="124"/>
      <c r="R498" s="124"/>
      <c r="S498" s="118"/>
      <c r="T498" s="123"/>
      <c r="U498" s="123"/>
      <c r="V498" s="118"/>
      <c r="W498" s="123"/>
      <c r="X498" s="123"/>
      <c r="Y498" s="123">
        <v>9135</v>
      </c>
      <c r="Z498" s="118"/>
      <c r="AA498" s="123"/>
      <c r="AB498" s="118"/>
      <c r="AC498" s="118"/>
      <c r="AD498" s="76"/>
      <c r="AE498" s="76"/>
      <c r="AF498" s="76"/>
      <c r="AG498" s="76"/>
      <c r="AH498" s="76"/>
      <c r="AI498" s="76"/>
      <c r="AJ498" s="110"/>
      <c r="AK498" s="110"/>
    </row>
    <row r="499" spans="1:37" ht="13.5" x14ac:dyDescent="0.25">
      <c r="A499" s="118"/>
      <c r="B499" s="575" t="s">
        <v>219</v>
      </c>
      <c r="C499" s="575"/>
      <c r="D499" s="575"/>
      <c r="E499" s="123"/>
      <c r="F499" s="123"/>
      <c r="G499" s="123"/>
      <c r="H499" s="118"/>
      <c r="I499" s="118"/>
      <c r="J499" s="118"/>
      <c r="K499" s="123"/>
      <c r="L499" s="124"/>
      <c r="M499" s="124"/>
      <c r="N499" s="124"/>
      <c r="O499" s="124"/>
      <c r="P499" s="124"/>
      <c r="Q499" s="124"/>
      <c r="R499" s="124"/>
      <c r="S499" s="118"/>
      <c r="T499" s="123"/>
      <c r="U499" s="123"/>
      <c r="V499" s="118"/>
      <c r="W499" s="123"/>
      <c r="X499" s="123"/>
      <c r="Y499" s="123">
        <v>520</v>
      </c>
      <c r="Z499" s="118"/>
      <c r="AA499" s="123"/>
      <c r="AB499" s="118"/>
      <c r="AC499" s="118"/>
      <c r="AD499" s="76"/>
      <c r="AE499" s="76"/>
      <c r="AF499" s="76"/>
      <c r="AG499" s="76"/>
      <c r="AH499" s="76"/>
      <c r="AI499" s="76"/>
      <c r="AJ499" s="110"/>
      <c r="AK499" s="110"/>
    </row>
    <row r="500" spans="1:37" s="219" customFormat="1" ht="13.5" x14ac:dyDescent="0.25">
      <c r="A500" s="144"/>
      <c r="B500" s="575" t="s">
        <v>220</v>
      </c>
      <c r="C500" s="575"/>
      <c r="D500" s="575"/>
      <c r="E500" s="123"/>
      <c r="F500" s="123"/>
      <c r="G500" s="123"/>
      <c r="H500" s="144"/>
      <c r="I500" s="144"/>
      <c r="J500" s="144"/>
      <c r="K500" s="194"/>
      <c r="L500" s="195"/>
      <c r="M500" s="195"/>
      <c r="N500" s="195"/>
      <c r="O500" s="195"/>
      <c r="P500" s="195"/>
      <c r="Q500" s="195"/>
      <c r="R500" s="195"/>
      <c r="S500" s="144"/>
      <c r="T500" s="194"/>
      <c r="U500" s="194"/>
      <c r="V500" s="144"/>
      <c r="W500" s="194"/>
      <c r="X500" s="194"/>
      <c r="Y500" s="194"/>
      <c r="Z500" s="144"/>
      <c r="AA500" s="194"/>
      <c r="AB500" s="144"/>
      <c r="AC500" s="362"/>
      <c r="AD500" s="86"/>
      <c r="AE500" s="363"/>
      <c r="AF500" s="86"/>
      <c r="AG500" s="363"/>
      <c r="AH500" s="86"/>
      <c r="AI500" s="86"/>
      <c r="AJ500" s="155"/>
      <c r="AK500" s="155"/>
    </row>
    <row r="501" spans="1:37" s="219" customFormat="1" ht="13.5" x14ac:dyDescent="0.25">
      <c r="A501" s="144"/>
      <c r="B501" s="575" t="s">
        <v>221</v>
      </c>
      <c r="C501" s="575"/>
      <c r="D501" s="575"/>
      <c r="E501" s="194"/>
      <c r="F501" s="194"/>
      <c r="G501" s="194"/>
      <c r="H501" s="144"/>
      <c r="I501" s="144"/>
      <c r="J501" s="144"/>
      <c r="K501" s="194"/>
      <c r="L501" s="195"/>
      <c r="M501" s="195"/>
      <c r="N501" s="195"/>
      <c r="O501" s="195"/>
      <c r="P501" s="195"/>
      <c r="Q501" s="195"/>
      <c r="R501" s="195"/>
      <c r="S501" s="144"/>
      <c r="T501" s="194"/>
      <c r="U501" s="194"/>
      <c r="V501" s="144"/>
      <c r="W501" s="194"/>
      <c r="X501" s="194"/>
      <c r="Y501" s="194"/>
      <c r="Z501" s="144"/>
      <c r="AA501" s="194"/>
      <c r="AB501" s="144"/>
      <c r="AC501" s="144"/>
      <c r="AD501" s="86"/>
      <c r="AE501" s="86"/>
      <c r="AF501" s="86"/>
      <c r="AG501" s="86"/>
      <c r="AH501" s="86"/>
      <c r="AI501" s="86"/>
      <c r="AJ501" s="155"/>
      <c r="AK501" s="155"/>
    </row>
    <row r="502" spans="1:37" ht="13.5" x14ac:dyDescent="0.25">
      <c r="A502" s="118"/>
      <c r="B502" s="575" t="s">
        <v>222</v>
      </c>
      <c r="C502" s="575"/>
      <c r="D502" s="575"/>
      <c r="E502" s="123"/>
      <c r="F502" s="123"/>
      <c r="G502" s="123"/>
      <c r="H502" s="118"/>
      <c r="I502" s="118"/>
      <c r="J502" s="118"/>
      <c r="K502" s="123"/>
      <c r="L502" s="124"/>
      <c r="M502" s="124"/>
      <c r="N502" s="124"/>
      <c r="O502" s="124"/>
      <c r="P502" s="124"/>
      <c r="Q502" s="124"/>
      <c r="R502" s="124"/>
      <c r="S502" s="118"/>
      <c r="T502" s="123"/>
      <c r="U502" s="123"/>
      <c r="V502" s="118"/>
      <c r="W502" s="123"/>
      <c r="X502" s="123"/>
      <c r="Y502" s="123"/>
      <c r="Z502" s="118"/>
      <c r="AA502" s="123"/>
      <c r="AB502" s="118"/>
      <c r="AC502" s="118"/>
      <c r="AD502" s="76"/>
      <c r="AE502" s="76"/>
      <c r="AF502" s="76"/>
      <c r="AG502" s="76"/>
      <c r="AH502" s="76"/>
      <c r="AI502" s="76"/>
      <c r="AJ502" s="110"/>
      <c r="AK502" s="110"/>
    </row>
    <row r="503" spans="1:37" ht="13.5" x14ac:dyDescent="0.25">
      <c r="A503" s="118"/>
      <c r="B503" s="575" t="s">
        <v>223</v>
      </c>
      <c r="C503" s="575"/>
      <c r="D503" s="575"/>
      <c r="E503" s="123"/>
      <c r="F503" s="123"/>
      <c r="G503" s="123"/>
      <c r="H503" s="118"/>
      <c r="I503" s="118"/>
      <c r="J503" s="118"/>
      <c r="K503" s="123"/>
      <c r="L503" s="124"/>
      <c r="M503" s="124"/>
      <c r="N503" s="124"/>
      <c r="O503" s="124"/>
      <c r="P503" s="124"/>
      <c r="Q503" s="124"/>
      <c r="R503" s="124"/>
      <c r="S503" s="118"/>
      <c r="T503" s="123"/>
      <c r="U503" s="123"/>
      <c r="V503" s="118"/>
      <c r="W503" s="123"/>
      <c r="X503" s="123"/>
      <c r="Y503" s="123"/>
      <c r="Z503" s="118"/>
      <c r="AA503" s="123"/>
      <c r="AB503" s="118"/>
      <c r="AC503" s="364"/>
      <c r="AD503" s="365"/>
      <c r="AE503" s="365"/>
      <c r="AF503" s="76"/>
      <c r="AG503" s="365"/>
      <c r="AH503" s="76"/>
      <c r="AI503" s="76"/>
      <c r="AJ503" s="110"/>
      <c r="AK503" s="110"/>
    </row>
    <row r="504" spans="1:37" ht="13.5" x14ac:dyDescent="0.25">
      <c r="A504" s="76"/>
      <c r="B504" s="82"/>
      <c r="C504" s="82"/>
      <c r="D504" s="82"/>
      <c r="E504" s="83"/>
      <c r="F504" s="83">
        <f>F494+F495</f>
        <v>900</v>
      </c>
      <c r="G504" s="83">
        <f>G494+G495</f>
        <v>174</v>
      </c>
      <c r="H504" s="76">
        <f>H494+H495</f>
        <v>0</v>
      </c>
      <c r="I504" s="76">
        <f>I494+I495</f>
        <v>726</v>
      </c>
      <c r="J504" s="76">
        <f>J494+J495</f>
        <v>0</v>
      </c>
      <c r="K504" s="83"/>
      <c r="L504" s="79"/>
      <c r="M504" s="79"/>
      <c r="N504" s="79"/>
      <c r="O504" s="79"/>
      <c r="P504" s="79"/>
      <c r="Q504" s="79"/>
      <c r="R504" s="79"/>
      <c r="S504" s="76"/>
      <c r="T504" s="83"/>
      <c r="U504" s="83"/>
      <c r="V504" s="76">
        <f>SUM(V489:V503)</f>
        <v>745</v>
      </c>
      <c r="W504" s="83"/>
      <c r="X504" s="83"/>
      <c r="Y504" s="83">
        <f>SUM(Y489:Y503)</f>
        <v>126178</v>
      </c>
      <c r="Z504" s="76"/>
      <c r="AA504" s="83"/>
      <c r="AB504" s="76"/>
      <c r="AC504" s="364"/>
      <c r="AD504" s="365"/>
      <c r="AE504" s="365"/>
      <c r="AF504" s="365"/>
      <c r="AG504" s="365"/>
      <c r="AH504" s="76"/>
      <c r="AI504" s="76"/>
      <c r="AJ504" s="110"/>
      <c r="AK504" s="110"/>
    </row>
    <row r="505" spans="1:37" s="219" customFormat="1" ht="13.5" x14ac:dyDescent="0.25">
      <c r="A505" s="86"/>
      <c r="B505" s="176"/>
      <c r="C505" s="176"/>
      <c r="D505" s="176"/>
      <c r="E505" s="59"/>
      <c r="F505" s="59"/>
      <c r="G505" s="59"/>
      <c r="H505" s="86"/>
      <c r="I505" s="86"/>
      <c r="J505" s="86"/>
      <c r="K505" s="59"/>
      <c r="L505" s="88"/>
      <c r="M505" s="88"/>
      <c r="N505" s="88"/>
      <c r="O505" s="88"/>
      <c r="P505" s="88"/>
      <c r="Q505" s="88"/>
      <c r="R505" s="88"/>
      <c r="S505" s="86"/>
      <c r="T505" s="59"/>
      <c r="U505" s="59"/>
      <c r="V505" s="86"/>
      <c r="W505" s="59"/>
      <c r="X505" s="59"/>
      <c r="Y505" s="59"/>
      <c r="Z505" s="86"/>
      <c r="AA505" s="59"/>
      <c r="AB505" s="86"/>
      <c r="AC505" s="366"/>
      <c r="AD505" s="367"/>
      <c r="AE505" s="367"/>
      <c r="AF505" s="367"/>
      <c r="AG505" s="367"/>
      <c r="AH505" s="86"/>
      <c r="AI505" s="86"/>
      <c r="AJ505" s="155"/>
      <c r="AK505" s="155"/>
    </row>
    <row r="506" spans="1:37" s="219" customFormat="1" ht="13.5" x14ac:dyDescent="0.25">
      <c r="A506" s="86"/>
      <c r="B506" s="176"/>
      <c r="C506" s="176"/>
      <c r="D506" s="176"/>
      <c r="E506" s="59"/>
      <c r="F506" s="59"/>
      <c r="G506" s="59"/>
      <c r="H506" s="86"/>
      <c r="I506" s="86"/>
      <c r="J506" s="86"/>
      <c r="K506" s="59"/>
      <c r="L506" s="88"/>
      <c r="M506" s="88"/>
      <c r="N506" s="88"/>
      <c r="O506" s="88"/>
      <c r="P506" s="88"/>
      <c r="Q506" s="88"/>
      <c r="R506" s="88"/>
      <c r="S506" s="86"/>
      <c r="T506" s="59"/>
      <c r="U506" s="59"/>
      <c r="V506" s="86"/>
      <c r="W506" s="59"/>
      <c r="X506" s="59"/>
      <c r="Y506" s="59"/>
      <c r="Z506" s="86"/>
      <c r="AA506" s="59"/>
      <c r="AB506" s="86"/>
      <c r="AC506" s="366"/>
      <c r="AD506" s="367"/>
      <c r="AE506" s="367"/>
      <c r="AF506" s="367"/>
      <c r="AG506" s="367"/>
      <c r="AH506" s="86"/>
      <c r="AI506" s="86"/>
      <c r="AJ506" s="155"/>
      <c r="AK506" s="155"/>
    </row>
    <row r="507" spans="1:37" ht="13.5" x14ac:dyDescent="0.25">
      <c r="A507" s="76"/>
      <c r="B507" s="82"/>
      <c r="C507" s="82"/>
      <c r="D507" s="82"/>
      <c r="E507" s="83"/>
      <c r="F507" s="83"/>
      <c r="G507" s="83"/>
      <c r="H507" s="76"/>
      <c r="I507" s="76"/>
      <c r="J507" s="76"/>
      <c r="K507" s="83"/>
      <c r="L507" s="79"/>
      <c r="M507" s="79"/>
      <c r="N507" s="79"/>
      <c r="O507" s="79"/>
      <c r="P507" s="79"/>
      <c r="Q507" s="79"/>
      <c r="R507" s="79"/>
      <c r="S507" s="76"/>
      <c r="T507" s="83"/>
      <c r="U507" s="83"/>
      <c r="V507" s="76"/>
      <c r="W507" s="83"/>
      <c r="X507" s="83"/>
      <c r="Y507" s="83"/>
      <c r="Z507" s="365"/>
      <c r="AA507" s="83"/>
      <c r="AB507" s="76"/>
      <c r="AC507" s="364"/>
      <c r="AD507" s="365"/>
      <c r="AE507" s="365"/>
      <c r="AF507" s="365"/>
      <c r="AG507" s="365"/>
      <c r="AH507" s="76"/>
      <c r="AI507" s="76"/>
      <c r="AJ507" s="110"/>
      <c r="AK507" s="110"/>
    </row>
    <row r="508" spans="1:37" ht="13.5" x14ac:dyDescent="0.25">
      <c r="A508" s="76"/>
      <c r="B508" s="82"/>
      <c r="C508" s="82"/>
      <c r="D508" s="82"/>
      <c r="E508" s="83"/>
      <c r="F508" s="83"/>
      <c r="G508" s="83"/>
      <c r="H508" s="76"/>
      <c r="I508" s="76"/>
      <c r="J508" s="76"/>
      <c r="K508" s="83"/>
      <c r="L508" s="79"/>
      <c r="M508" s="79"/>
      <c r="N508" s="79"/>
      <c r="O508" s="79"/>
      <c r="P508" s="79"/>
      <c r="Q508" s="79"/>
      <c r="R508" s="79"/>
      <c r="S508" s="76"/>
      <c r="T508" s="83"/>
      <c r="U508" s="83"/>
      <c r="V508" s="76"/>
      <c r="W508" s="83"/>
      <c r="X508" s="83"/>
      <c r="Y508" s="83"/>
      <c r="Z508" s="365"/>
      <c r="AA508" s="83"/>
      <c r="AB508" s="76"/>
      <c r="AC508" s="364"/>
      <c r="AD508" s="365"/>
      <c r="AE508" s="365"/>
      <c r="AF508" s="365"/>
      <c r="AG508" s="365"/>
      <c r="AH508" s="76"/>
      <c r="AI508" s="76"/>
      <c r="AJ508" s="110"/>
      <c r="AK508" s="110"/>
    </row>
    <row r="509" spans="1:37" ht="13.5" x14ac:dyDescent="0.25">
      <c r="A509" s="76"/>
      <c r="B509" s="82"/>
      <c r="C509" s="82"/>
      <c r="D509" s="82"/>
      <c r="E509" s="83"/>
      <c r="F509" s="83"/>
      <c r="G509" s="83"/>
      <c r="H509" s="76"/>
      <c r="I509" s="76"/>
      <c r="J509" s="76"/>
      <c r="K509" s="83"/>
      <c r="L509" s="79"/>
      <c r="M509" s="79"/>
      <c r="N509" s="79"/>
      <c r="O509" s="79"/>
      <c r="P509" s="79"/>
      <c r="Q509" s="79"/>
      <c r="R509" s="79"/>
      <c r="S509" s="76"/>
      <c r="T509" s="83"/>
      <c r="U509" s="83"/>
      <c r="V509" s="76"/>
      <c r="W509" s="83"/>
      <c r="X509" s="83"/>
      <c r="Y509" s="83"/>
      <c r="Z509" s="365"/>
      <c r="AA509" s="368"/>
      <c r="AB509" s="365"/>
      <c r="AC509" s="369"/>
      <c r="AD509" s="576"/>
      <c r="AE509" s="576"/>
      <c r="AF509" s="576"/>
      <c r="AG509" s="576"/>
      <c r="AH509" s="76"/>
      <c r="AI509" s="76"/>
      <c r="AJ509" s="110"/>
      <c r="AK509" s="110"/>
    </row>
    <row r="510" spans="1:37" ht="13.5" x14ac:dyDescent="0.25">
      <c r="A510" s="76"/>
      <c r="B510" s="82"/>
      <c r="C510" s="82"/>
      <c r="D510" s="82"/>
      <c r="E510" s="83"/>
      <c r="F510" s="83"/>
      <c r="G510" s="83"/>
      <c r="H510" s="76"/>
      <c r="I510" s="76"/>
      <c r="J510" s="76"/>
      <c r="K510" s="83"/>
      <c r="L510" s="79"/>
      <c r="M510" s="79"/>
      <c r="N510" s="79"/>
      <c r="O510" s="79"/>
      <c r="P510" s="79"/>
      <c r="Q510" s="79"/>
      <c r="R510" s="79"/>
      <c r="S510" s="76"/>
      <c r="T510" s="83"/>
      <c r="U510" s="83"/>
      <c r="V510" s="76"/>
      <c r="W510" s="83"/>
      <c r="X510" s="83"/>
      <c r="Y510" s="83"/>
      <c r="Z510" s="365"/>
      <c r="AA510" s="83"/>
      <c r="AB510" s="76"/>
      <c r="AC510" s="364"/>
      <c r="AD510" s="365"/>
      <c r="AE510" s="365"/>
      <c r="AF510" s="365"/>
      <c r="AG510" s="365"/>
      <c r="AH510" s="76"/>
      <c r="AI510" s="76"/>
      <c r="AJ510" s="110"/>
      <c r="AK510" s="110"/>
    </row>
    <row r="511" spans="1:37" ht="13.5" x14ac:dyDescent="0.25">
      <c r="A511" s="76"/>
      <c r="B511" s="82"/>
      <c r="C511" s="82"/>
      <c r="D511" s="82"/>
      <c r="E511" s="83"/>
      <c r="F511" s="83"/>
      <c r="G511" s="83"/>
      <c r="H511" s="76"/>
      <c r="I511" s="76"/>
      <c r="J511" s="76"/>
      <c r="K511" s="83"/>
      <c r="L511" s="79"/>
      <c r="M511" s="79"/>
      <c r="N511" s="79"/>
      <c r="O511" s="79"/>
      <c r="P511" s="79"/>
      <c r="Q511" s="79"/>
      <c r="R511" s="79"/>
      <c r="S511" s="76"/>
      <c r="T511" s="83"/>
      <c r="U511" s="83"/>
      <c r="V511" s="76"/>
      <c r="W511" s="83"/>
      <c r="X511" s="83"/>
      <c r="Y511" s="83"/>
      <c r="Z511" s="365"/>
      <c r="AA511" s="83"/>
      <c r="AB511" s="76"/>
      <c r="AC511" s="364"/>
      <c r="AD511" s="365"/>
      <c r="AE511" s="365"/>
      <c r="AF511" s="365"/>
      <c r="AG511" s="365"/>
      <c r="AH511" s="76"/>
      <c r="AI511" s="76"/>
      <c r="AJ511" s="110"/>
      <c r="AK511" s="110"/>
    </row>
    <row r="512" spans="1:37" ht="13.5" x14ac:dyDescent="0.25">
      <c r="A512" s="370"/>
      <c r="B512" s="357"/>
      <c r="C512" s="357"/>
      <c r="D512" s="357"/>
      <c r="E512" s="83"/>
      <c r="F512" s="83"/>
      <c r="G512" s="83"/>
      <c r="H512" s="76"/>
      <c r="I512" s="76"/>
      <c r="J512" s="76"/>
      <c r="K512" s="83"/>
      <c r="L512" s="79"/>
      <c r="M512" s="79"/>
      <c r="N512" s="79"/>
      <c r="O512" s="79"/>
      <c r="P512" s="79"/>
      <c r="Q512" s="79"/>
      <c r="R512" s="79"/>
      <c r="S512" s="76"/>
      <c r="T512" s="83"/>
      <c r="U512" s="83"/>
      <c r="V512" s="76"/>
      <c r="W512" s="83"/>
      <c r="X512" s="83"/>
      <c r="Y512" s="83"/>
      <c r="Z512" s="76"/>
      <c r="AA512" s="83"/>
      <c r="AB512" s="76"/>
      <c r="AC512" s="118"/>
      <c r="AD512" s="76"/>
      <c r="AE512" s="76"/>
      <c r="AF512" s="76"/>
      <c r="AG512" s="76"/>
      <c r="AH512" s="76"/>
      <c r="AI512" s="76"/>
      <c r="AJ512" s="110"/>
      <c r="AK512" s="110"/>
    </row>
    <row r="513" spans="1:37" ht="13.5" x14ac:dyDescent="0.25">
      <c r="A513" s="76"/>
      <c r="B513" s="82"/>
      <c r="C513" s="82"/>
      <c r="D513" s="82"/>
      <c r="E513" s="83"/>
      <c r="F513" s="83"/>
      <c r="G513" s="83"/>
      <c r="H513" s="76"/>
      <c r="I513" s="76"/>
      <c r="J513" s="76"/>
      <c r="K513" s="83"/>
      <c r="L513" s="79"/>
      <c r="M513" s="79"/>
      <c r="N513" s="79"/>
      <c r="O513" s="79"/>
      <c r="P513" s="79"/>
      <c r="Q513" s="79"/>
      <c r="R513" s="79"/>
      <c r="S513" s="76"/>
      <c r="T513" s="83"/>
      <c r="U513" s="83"/>
      <c r="V513" s="76"/>
      <c r="W513" s="83"/>
      <c r="X513" s="83"/>
      <c r="Y513" s="83"/>
      <c r="Z513" s="76"/>
      <c r="AA513" s="83"/>
      <c r="AB513" s="76"/>
      <c r="AC513" s="118"/>
      <c r="AD513" s="76"/>
      <c r="AE513" s="76"/>
      <c r="AF513" s="76"/>
      <c r="AG513" s="76"/>
      <c r="AH513" s="76"/>
      <c r="AI513" s="76"/>
      <c r="AJ513" s="110"/>
      <c r="AK513" s="110"/>
    </row>
    <row r="514" spans="1:37" ht="13.5" x14ac:dyDescent="0.25">
      <c r="A514" s="76"/>
      <c r="B514" s="82"/>
      <c r="C514" s="82"/>
      <c r="D514" s="82"/>
      <c r="E514" s="83"/>
      <c r="F514" s="83"/>
      <c r="G514" s="83"/>
      <c r="H514" s="76"/>
      <c r="I514" s="76"/>
      <c r="J514" s="76"/>
      <c r="K514" s="83"/>
      <c r="L514" s="79"/>
      <c r="M514" s="79"/>
      <c r="N514" s="79"/>
      <c r="O514" s="79"/>
      <c r="P514" s="79"/>
      <c r="Q514" s="79"/>
      <c r="R514" s="79"/>
      <c r="S514" s="76"/>
      <c r="T514" s="83"/>
      <c r="U514" s="83"/>
      <c r="V514" s="76"/>
      <c r="W514" s="83"/>
      <c r="X514" s="83"/>
      <c r="Y514" s="83"/>
      <c r="Z514" s="76"/>
      <c r="AA514" s="83"/>
      <c r="AB514" s="76"/>
      <c r="AC514" s="118"/>
      <c r="AD514" s="76"/>
      <c r="AE514" s="76"/>
      <c r="AF514" s="76"/>
      <c r="AG514" s="76"/>
      <c r="AH514" s="76"/>
      <c r="AI514" s="76"/>
      <c r="AJ514" s="110"/>
      <c r="AK514" s="110"/>
    </row>
    <row r="515" spans="1:37" ht="13.5" x14ac:dyDescent="0.25">
      <c r="A515" s="76"/>
      <c r="B515" s="82"/>
      <c r="C515" s="82"/>
      <c r="D515" s="82"/>
      <c r="E515" s="83"/>
      <c r="F515" s="83"/>
      <c r="G515" s="83"/>
      <c r="H515" s="76"/>
      <c r="I515" s="76"/>
      <c r="J515" s="76"/>
      <c r="K515" s="83"/>
      <c r="L515" s="79"/>
      <c r="M515" s="79"/>
      <c r="N515" s="79"/>
      <c r="O515" s="79"/>
      <c r="P515" s="79"/>
      <c r="Q515" s="79"/>
      <c r="R515" s="79"/>
      <c r="S515" s="76"/>
      <c r="T515" s="83"/>
      <c r="U515" s="83"/>
      <c r="V515" s="76"/>
      <c r="W515" s="83"/>
      <c r="X515" s="83"/>
      <c r="Y515" s="83"/>
      <c r="Z515" s="76"/>
      <c r="AA515" s="83"/>
      <c r="AB515" s="76"/>
      <c r="AC515" s="118"/>
      <c r="AD515" s="76"/>
      <c r="AE515" s="76"/>
      <c r="AF515" s="76"/>
      <c r="AG515" s="76"/>
      <c r="AH515" s="76"/>
      <c r="AI515" s="76"/>
      <c r="AJ515" s="110"/>
      <c r="AK515" s="110"/>
    </row>
    <row r="516" spans="1:37" ht="13.5" x14ac:dyDescent="0.25">
      <c r="A516" s="76"/>
      <c r="B516" s="82"/>
      <c r="C516" s="82"/>
      <c r="D516" s="82"/>
      <c r="E516" s="83"/>
      <c r="F516" s="83"/>
      <c r="G516" s="83"/>
      <c r="H516" s="76"/>
      <c r="I516" s="76"/>
      <c r="J516" s="76"/>
      <c r="K516" s="83"/>
      <c r="L516" s="79"/>
      <c r="M516" s="79"/>
      <c r="N516" s="79"/>
      <c r="O516" s="79"/>
      <c r="P516" s="79"/>
      <c r="Q516" s="79"/>
      <c r="R516" s="79"/>
      <c r="S516" s="76"/>
      <c r="T516" s="83"/>
      <c r="U516" s="83"/>
      <c r="V516" s="76"/>
      <c r="W516" s="83"/>
      <c r="X516" s="83"/>
      <c r="Y516" s="83"/>
      <c r="Z516" s="76"/>
      <c r="AA516" s="83"/>
      <c r="AB516" s="76"/>
      <c r="AC516" s="118"/>
      <c r="AD516" s="76"/>
      <c r="AE516" s="76"/>
      <c r="AF516" s="76"/>
      <c r="AG516" s="76"/>
      <c r="AH516" s="76"/>
      <c r="AI516" s="76"/>
      <c r="AJ516" s="110"/>
      <c r="AK516" s="110"/>
    </row>
    <row r="517" spans="1:37" ht="13.5" x14ac:dyDescent="0.25">
      <c r="A517" s="76"/>
      <c r="B517" s="82"/>
      <c r="C517" s="82"/>
      <c r="D517" s="82"/>
      <c r="E517" s="83"/>
      <c r="F517" s="83"/>
      <c r="G517" s="83"/>
      <c r="H517" s="76"/>
      <c r="I517" s="76"/>
      <c r="J517" s="76"/>
      <c r="K517" s="83"/>
      <c r="L517" s="79"/>
      <c r="M517" s="79"/>
      <c r="N517" s="79"/>
      <c r="O517" s="79"/>
      <c r="P517" s="79"/>
      <c r="Q517" s="79"/>
      <c r="R517" s="79"/>
      <c r="S517" s="76"/>
      <c r="T517" s="83"/>
      <c r="U517" s="83"/>
      <c r="V517" s="76"/>
      <c r="W517" s="83"/>
      <c r="X517" s="83"/>
      <c r="Y517" s="83"/>
      <c r="Z517" s="76"/>
      <c r="AA517" s="83"/>
      <c r="AB517" s="76"/>
      <c r="AC517" s="118"/>
      <c r="AD517" s="76"/>
      <c r="AE517" s="76"/>
      <c r="AF517" s="76"/>
      <c r="AG517" s="76"/>
      <c r="AH517" s="76"/>
      <c r="AI517" s="76"/>
      <c r="AJ517" s="110"/>
      <c r="AK517" s="110"/>
    </row>
    <row r="518" spans="1:37" ht="13.5" x14ac:dyDescent="0.25">
      <c r="A518" s="76"/>
      <c r="B518" s="82"/>
      <c r="C518" s="82"/>
      <c r="D518" s="82"/>
      <c r="E518" s="83"/>
      <c r="F518" s="83"/>
      <c r="G518" s="83"/>
      <c r="H518" s="76"/>
      <c r="I518" s="76"/>
      <c r="J518" s="76"/>
      <c r="K518" s="83"/>
      <c r="L518" s="79"/>
      <c r="M518" s="79"/>
      <c r="N518" s="79"/>
      <c r="O518" s="79"/>
      <c r="P518" s="79"/>
      <c r="Q518" s="79"/>
      <c r="R518" s="79"/>
      <c r="S518" s="76"/>
      <c r="T518" s="83"/>
      <c r="U518" s="83"/>
      <c r="V518" s="76"/>
      <c r="W518" s="83"/>
      <c r="X518" s="83"/>
      <c r="Y518" s="83"/>
      <c r="Z518" s="76"/>
      <c r="AA518" s="83"/>
      <c r="AB518" s="76"/>
      <c r="AC518" s="118"/>
      <c r="AD518" s="76"/>
      <c r="AE518" s="76"/>
      <c r="AF518" s="76"/>
      <c r="AG518" s="76"/>
      <c r="AH518" s="76"/>
      <c r="AI518" s="76"/>
      <c r="AJ518" s="110"/>
      <c r="AK518" s="110"/>
    </row>
    <row r="519" spans="1:37" ht="13.5" x14ac:dyDescent="0.25">
      <c r="A519" s="76"/>
      <c r="B519" s="82"/>
      <c r="C519" s="82"/>
      <c r="D519" s="82"/>
      <c r="E519" s="83"/>
      <c r="F519" s="83"/>
      <c r="G519" s="83"/>
      <c r="H519" s="76"/>
      <c r="I519" s="76"/>
      <c r="J519" s="76"/>
      <c r="K519" s="83"/>
      <c r="L519" s="79"/>
      <c r="M519" s="79"/>
      <c r="N519" s="79"/>
      <c r="O519" s="79"/>
      <c r="P519" s="79"/>
      <c r="Q519" s="79"/>
      <c r="R519" s="79"/>
      <c r="S519" s="76"/>
      <c r="T519" s="83"/>
      <c r="U519" s="83"/>
      <c r="V519" s="76"/>
      <c r="W519" s="83"/>
      <c r="X519" s="83"/>
      <c r="Y519" s="83"/>
      <c r="Z519" s="76"/>
      <c r="AA519" s="83"/>
      <c r="AB519" s="76"/>
      <c r="AC519" s="118"/>
      <c r="AD519" s="76"/>
      <c r="AE519" s="76"/>
      <c r="AF519" s="76"/>
      <c r="AG519" s="76"/>
      <c r="AH519" s="76"/>
      <c r="AI519" s="76"/>
      <c r="AJ519" s="110"/>
      <c r="AK519" s="110"/>
    </row>
    <row r="520" spans="1:37" x14ac:dyDescent="0.25">
      <c r="A520" s="110"/>
      <c r="B520" s="271"/>
      <c r="C520" s="271"/>
      <c r="D520" s="271"/>
      <c r="E520" s="371"/>
      <c r="F520" s="371"/>
      <c r="G520" s="371"/>
      <c r="H520" s="110"/>
      <c r="I520" s="110"/>
      <c r="J520" s="110"/>
      <c r="K520" s="371"/>
      <c r="L520" s="372"/>
      <c r="M520" s="372"/>
      <c r="N520" s="372"/>
      <c r="O520" s="372"/>
      <c r="P520" s="372"/>
      <c r="Q520" s="372"/>
      <c r="R520" s="372"/>
      <c r="S520" s="110"/>
      <c r="T520" s="371"/>
      <c r="U520" s="371"/>
      <c r="V520" s="110"/>
      <c r="W520" s="371"/>
      <c r="X520" s="371"/>
      <c r="Y520" s="371"/>
      <c r="Z520" s="110"/>
      <c r="AA520" s="371"/>
      <c r="AB520" s="110"/>
      <c r="AC520" s="119"/>
      <c r="AD520" s="110"/>
      <c r="AE520" s="110"/>
      <c r="AF520" s="110"/>
      <c r="AG520" s="110"/>
      <c r="AH520" s="110"/>
      <c r="AI520" s="110"/>
      <c r="AJ520" s="110"/>
      <c r="AK520" s="110"/>
    </row>
    <row r="521" spans="1:37" x14ac:dyDescent="0.25">
      <c r="A521" s="110"/>
      <c r="B521" s="271"/>
      <c r="C521" s="271"/>
      <c r="D521" s="271"/>
      <c r="E521" s="371"/>
      <c r="F521" s="371"/>
      <c r="G521" s="371"/>
      <c r="H521" s="110"/>
      <c r="I521" s="110"/>
      <c r="J521" s="110"/>
      <c r="K521" s="371"/>
      <c r="L521" s="372"/>
      <c r="M521" s="372"/>
      <c r="N521" s="372"/>
      <c r="O521" s="372"/>
      <c r="P521" s="372"/>
      <c r="Q521" s="372"/>
      <c r="R521" s="372"/>
      <c r="S521" s="110"/>
      <c r="T521" s="371"/>
      <c r="U521" s="371"/>
      <c r="V521" s="110"/>
      <c r="W521" s="371"/>
      <c r="X521" s="371"/>
      <c r="Y521" s="371"/>
      <c r="Z521" s="110"/>
      <c r="AA521" s="371"/>
      <c r="AB521" s="110"/>
      <c r="AC521" s="119"/>
      <c r="AD521" s="110"/>
      <c r="AE521" s="110"/>
      <c r="AF521" s="110"/>
      <c r="AG521" s="110"/>
      <c r="AH521" s="110"/>
      <c r="AI521" s="110"/>
      <c r="AJ521" s="110"/>
      <c r="AK521" s="110"/>
    </row>
    <row r="522" spans="1:37" x14ac:dyDescent="0.25">
      <c r="A522" s="110"/>
      <c r="B522" s="271"/>
      <c r="C522" s="271"/>
      <c r="D522" s="271"/>
      <c r="E522" s="371"/>
      <c r="F522" s="371"/>
      <c r="G522" s="371"/>
      <c r="H522" s="110"/>
      <c r="I522" s="110"/>
      <c r="J522" s="110"/>
      <c r="K522" s="371"/>
      <c r="L522" s="372"/>
      <c r="M522" s="372"/>
      <c r="N522" s="372"/>
      <c r="O522" s="372"/>
      <c r="P522" s="372"/>
      <c r="Q522" s="372"/>
      <c r="R522" s="372"/>
      <c r="S522" s="110"/>
      <c r="T522" s="371"/>
      <c r="U522" s="371"/>
      <c r="V522" s="110"/>
      <c r="W522" s="371"/>
      <c r="X522" s="371"/>
      <c r="Y522" s="371"/>
      <c r="Z522" s="110"/>
      <c r="AA522" s="371"/>
      <c r="AB522" s="110"/>
      <c r="AC522" s="119"/>
      <c r="AD522" s="110"/>
      <c r="AE522" s="110"/>
      <c r="AF522" s="110"/>
      <c r="AG522" s="110"/>
      <c r="AH522" s="110"/>
      <c r="AI522" s="110"/>
      <c r="AJ522" s="110"/>
      <c r="AK522" s="110"/>
    </row>
    <row r="523" spans="1:37" x14ac:dyDescent="0.25">
      <c r="A523" s="110"/>
      <c r="B523" s="271"/>
      <c r="C523" s="271"/>
      <c r="D523" s="271"/>
      <c r="E523" s="371"/>
      <c r="F523" s="371"/>
      <c r="G523" s="371"/>
      <c r="H523" s="110"/>
      <c r="I523" s="110"/>
      <c r="J523" s="110"/>
      <c r="K523" s="371"/>
      <c r="L523" s="372"/>
      <c r="M523" s="372"/>
      <c r="N523" s="372"/>
      <c r="O523" s="372"/>
      <c r="P523" s="372"/>
      <c r="Q523" s="372"/>
      <c r="R523" s="372"/>
      <c r="S523" s="110"/>
      <c r="T523" s="371"/>
      <c r="U523" s="371"/>
      <c r="V523" s="110"/>
      <c r="W523" s="371"/>
      <c r="X523" s="371"/>
      <c r="Y523" s="371"/>
      <c r="Z523" s="110"/>
      <c r="AA523" s="371"/>
      <c r="AB523" s="110"/>
      <c r="AC523" s="119"/>
      <c r="AD523" s="110"/>
      <c r="AE523" s="110"/>
      <c r="AF523" s="110"/>
      <c r="AG523" s="110"/>
      <c r="AH523" s="110"/>
      <c r="AI523" s="110"/>
      <c r="AJ523" s="110"/>
      <c r="AK523" s="110"/>
    </row>
    <row r="524" spans="1:37" x14ac:dyDescent="0.25">
      <c r="A524" s="110"/>
      <c r="B524" s="271"/>
      <c r="C524" s="271"/>
      <c r="D524" s="271"/>
      <c r="E524" s="371"/>
      <c r="F524" s="371"/>
      <c r="G524" s="371"/>
      <c r="H524" s="110"/>
      <c r="I524" s="110"/>
      <c r="J524" s="110"/>
      <c r="K524" s="371"/>
      <c r="L524" s="372"/>
      <c r="M524" s="372"/>
      <c r="N524" s="372"/>
      <c r="O524" s="372"/>
      <c r="P524" s="372"/>
      <c r="Q524" s="372"/>
      <c r="R524" s="372"/>
      <c r="S524" s="110"/>
      <c r="T524" s="371"/>
      <c r="U524" s="371"/>
      <c r="V524" s="110"/>
      <c r="W524" s="371"/>
      <c r="X524" s="371"/>
      <c r="Y524" s="371"/>
      <c r="Z524" s="110"/>
      <c r="AA524" s="371"/>
      <c r="AB524" s="110"/>
      <c r="AC524" s="119"/>
      <c r="AD524" s="110"/>
      <c r="AE524" s="110"/>
      <c r="AF524" s="110"/>
      <c r="AG524" s="110"/>
      <c r="AH524" s="110"/>
      <c r="AI524" s="110"/>
      <c r="AJ524" s="110"/>
      <c r="AK524" s="110"/>
    </row>
    <row r="525" spans="1:37" x14ac:dyDescent="0.25">
      <c r="A525" s="110"/>
      <c r="B525" s="271"/>
      <c r="C525" s="271"/>
      <c r="D525" s="271"/>
      <c r="E525" s="371"/>
      <c r="F525" s="371"/>
      <c r="G525" s="371"/>
      <c r="H525" s="110"/>
      <c r="I525" s="110"/>
      <c r="J525" s="110"/>
      <c r="K525" s="371"/>
      <c r="L525" s="372"/>
      <c r="M525" s="372"/>
      <c r="N525" s="372"/>
      <c r="O525" s="372"/>
      <c r="P525" s="372"/>
      <c r="Q525" s="372"/>
      <c r="R525" s="372"/>
      <c r="S525" s="110"/>
      <c r="T525" s="371"/>
      <c r="U525" s="371"/>
      <c r="V525" s="110"/>
      <c r="W525" s="371"/>
      <c r="X525" s="371"/>
      <c r="Y525" s="371"/>
      <c r="Z525" s="110"/>
      <c r="AA525" s="371"/>
      <c r="AB525" s="110"/>
      <c r="AC525" s="119"/>
      <c r="AD525" s="110"/>
      <c r="AE525" s="110"/>
      <c r="AF525" s="110"/>
      <c r="AG525" s="110"/>
      <c r="AH525" s="110"/>
      <c r="AI525" s="110"/>
      <c r="AJ525" s="110"/>
      <c r="AK525" s="110"/>
    </row>
    <row r="526" spans="1:37" x14ac:dyDescent="0.25">
      <c r="A526" s="110"/>
      <c r="B526" s="271"/>
      <c r="C526" s="271"/>
      <c r="D526" s="271"/>
      <c r="E526" s="371"/>
      <c r="F526" s="371"/>
      <c r="G526" s="371"/>
      <c r="H526" s="110"/>
      <c r="I526" s="110"/>
      <c r="J526" s="110"/>
      <c r="K526" s="371"/>
      <c r="L526" s="372"/>
      <c r="M526" s="372"/>
      <c r="N526" s="372"/>
      <c r="O526" s="372"/>
      <c r="P526" s="372"/>
      <c r="Q526" s="372"/>
      <c r="R526" s="372"/>
      <c r="S526" s="110"/>
      <c r="T526" s="371"/>
      <c r="U526" s="371"/>
      <c r="V526" s="110"/>
      <c r="W526" s="371"/>
      <c r="X526" s="371"/>
      <c r="Y526" s="371"/>
      <c r="Z526" s="110"/>
      <c r="AA526" s="371"/>
      <c r="AB526" s="110"/>
      <c r="AC526" s="119"/>
      <c r="AD526" s="110"/>
      <c r="AE526" s="110"/>
      <c r="AF526" s="110"/>
      <c r="AG526" s="110"/>
      <c r="AH526" s="110"/>
      <c r="AI526" s="110"/>
      <c r="AJ526" s="110"/>
      <c r="AK526" s="110"/>
    </row>
    <row r="527" spans="1:37" x14ac:dyDescent="0.25">
      <c r="A527" s="110"/>
      <c r="B527" s="271"/>
      <c r="C527" s="271"/>
      <c r="D527" s="271"/>
      <c r="E527" s="371"/>
      <c r="F527" s="371"/>
      <c r="G527" s="371"/>
      <c r="H527" s="110"/>
      <c r="I527" s="110"/>
      <c r="J527" s="110"/>
      <c r="K527" s="371"/>
      <c r="L527" s="372"/>
      <c r="M527" s="372"/>
      <c r="N527" s="372"/>
      <c r="O527" s="372"/>
      <c r="P527" s="372"/>
      <c r="Q527" s="372"/>
      <c r="R527" s="372"/>
      <c r="S527" s="110"/>
      <c r="T527" s="371"/>
      <c r="U527" s="371"/>
      <c r="V527" s="110"/>
      <c r="W527" s="371"/>
      <c r="X527" s="371"/>
      <c r="Y527" s="371"/>
      <c r="Z527" s="110"/>
      <c r="AA527" s="371"/>
      <c r="AB527" s="110"/>
      <c r="AC527" s="119"/>
      <c r="AD527" s="110"/>
      <c r="AE527" s="110"/>
      <c r="AF527" s="110"/>
      <c r="AG527" s="110"/>
      <c r="AH527" s="110"/>
      <c r="AI527" s="110"/>
      <c r="AJ527" s="110"/>
      <c r="AK527" s="110"/>
    </row>
    <row r="528" spans="1:37" x14ac:dyDescent="0.25">
      <c r="A528" s="110"/>
      <c r="B528" s="271"/>
      <c r="C528" s="271"/>
      <c r="D528" s="271"/>
      <c r="E528" s="371"/>
      <c r="F528" s="371"/>
      <c r="G528" s="371"/>
      <c r="H528" s="110"/>
      <c r="I528" s="110"/>
      <c r="J528" s="110"/>
      <c r="K528" s="371"/>
      <c r="L528" s="372"/>
      <c r="M528" s="372"/>
      <c r="N528" s="372"/>
      <c r="O528" s="372"/>
      <c r="P528" s="372"/>
      <c r="Q528" s="372"/>
      <c r="R528" s="372"/>
      <c r="S528" s="110"/>
      <c r="T528" s="371"/>
      <c r="U528" s="371"/>
      <c r="V528" s="110"/>
      <c r="W528" s="371"/>
      <c r="X528" s="371"/>
      <c r="Y528" s="371"/>
      <c r="Z528" s="110"/>
      <c r="AA528" s="371"/>
      <c r="AB528" s="110"/>
      <c r="AC528" s="119"/>
      <c r="AD528" s="110"/>
      <c r="AE528" s="110"/>
      <c r="AF528" s="110"/>
      <c r="AG528" s="110"/>
      <c r="AH528" s="110"/>
      <c r="AI528" s="110"/>
      <c r="AJ528" s="110"/>
      <c r="AK528" s="110"/>
    </row>
    <row r="529" spans="1:37" x14ac:dyDescent="0.25">
      <c r="A529" s="110"/>
      <c r="B529" s="271"/>
      <c r="C529" s="271"/>
      <c r="D529" s="271"/>
      <c r="E529" s="371"/>
      <c r="F529" s="371"/>
      <c r="G529" s="371"/>
      <c r="H529" s="110"/>
      <c r="I529" s="110"/>
      <c r="J529" s="110"/>
      <c r="K529" s="371"/>
      <c r="L529" s="372"/>
      <c r="M529" s="372"/>
      <c r="N529" s="372"/>
      <c r="O529" s="372"/>
      <c r="P529" s="372"/>
      <c r="Q529" s="372"/>
      <c r="R529" s="372"/>
      <c r="S529" s="110"/>
      <c r="T529" s="371"/>
      <c r="U529" s="371"/>
      <c r="V529" s="110"/>
      <c r="W529" s="371"/>
      <c r="X529" s="371"/>
      <c r="Y529" s="371"/>
      <c r="Z529" s="110"/>
      <c r="AA529" s="371"/>
      <c r="AB529" s="110"/>
      <c r="AC529" s="119"/>
      <c r="AD529" s="110"/>
      <c r="AE529" s="110"/>
      <c r="AF529" s="110"/>
      <c r="AG529" s="110"/>
      <c r="AH529" s="110"/>
      <c r="AI529" s="110"/>
      <c r="AJ529" s="110"/>
      <c r="AK529" s="110"/>
    </row>
    <row r="530" spans="1:37" x14ac:dyDescent="0.25">
      <c r="A530" s="110"/>
      <c r="B530" s="271"/>
      <c r="C530" s="271"/>
      <c r="D530" s="271"/>
      <c r="E530" s="371"/>
      <c r="F530" s="371"/>
      <c r="G530" s="371"/>
      <c r="H530" s="110"/>
      <c r="I530" s="110"/>
      <c r="J530" s="110"/>
      <c r="K530" s="371"/>
      <c r="L530" s="372"/>
      <c r="M530" s="372"/>
      <c r="N530" s="372"/>
      <c r="O530" s="372"/>
      <c r="P530" s="372"/>
      <c r="Q530" s="372"/>
      <c r="R530" s="372"/>
      <c r="S530" s="110"/>
      <c r="T530" s="371"/>
      <c r="U530" s="371"/>
      <c r="V530" s="110"/>
      <c r="W530" s="371"/>
      <c r="X530" s="371"/>
      <c r="Y530" s="371"/>
      <c r="Z530" s="110"/>
      <c r="AA530" s="371"/>
      <c r="AB530" s="110"/>
      <c r="AC530" s="119"/>
      <c r="AD530" s="110"/>
      <c r="AE530" s="110"/>
      <c r="AF530" s="110"/>
      <c r="AG530" s="110"/>
      <c r="AH530" s="110"/>
      <c r="AI530" s="110"/>
      <c r="AJ530" s="110"/>
      <c r="AK530" s="110"/>
    </row>
    <row r="531" spans="1:37" x14ac:dyDescent="0.25">
      <c r="A531" s="110"/>
      <c r="B531" s="271"/>
      <c r="C531" s="271"/>
      <c r="D531" s="271"/>
      <c r="E531" s="371"/>
      <c r="F531" s="371"/>
      <c r="G531" s="371"/>
      <c r="H531" s="110"/>
      <c r="I531" s="110"/>
      <c r="J531" s="110"/>
      <c r="K531" s="371"/>
      <c r="L531" s="372"/>
      <c r="M531" s="372"/>
      <c r="N531" s="372"/>
      <c r="O531" s="372"/>
      <c r="P531" s="372"/>
      <c r="Q531" s="372"/>
      <c r="R531" s="372"/>
      <c r="S531" s="110"/>
      <c r="T531" s="371"/>
      <c r="U531" s="371"/>
      <c r="V531" s="110"/>
      <c r="W531" s="371"/>
      <c r="X531" s="371"/>
      <c r="Y531" s="371"/>
      <c r="Z531" s="110"/>
      <c r="AA531" s="371"/>
      <c r="AB531" s="110"/>
      <c r="AC531" s="119"/>
      <c r="AD531" s="110"/>
      <c r="AE531" s="110"/>
      <c r="AF531" s="110"/>
      <c r="AG531" s="110"/>
      <c r="AH531" s="110"/>
      <c r="AI531" s="110"/>
      <c r="AJ531" s="110"/>
      <c r="AK531" s="110"/>
    </row>
    <row r="532" spans="1:37" x14ac:dyDescent="0.25">
      <c r="A532" s="110"/>
      <c r="B532" s="271"/>
      <c r="C532" s="271"/>
      <c r="D532" s="271"/>
      <c r="E532" s="371"/>
      <c r="F532" s="371"/>
      <c r="G532" s="371"/>
      <c r="H532" s="110"/>
      <c r="I532" s="110"/>
      <c r="J532" s="110"/>
      <c r="K532" s="371"/>
      <c r="L532" s="372"/>
      <c r="M532" s="372"/>
      <c r="N532" s="372"/>
      <c r="O532" s="372"/>
      <c r="P532" s="372"/>
      <c r="Q532" s="372"/>
      <c r="R532" s="372"/>
      <c r="S532" s="110"/>
      <c r="T532" s="371"/>
      <c r="U532" s="371"/>
      <c r="V532" s="110"/>
      <c r="W532" s="371"/>
      <c r="X532" s="371"/>
      <c r="Y532" s="371"/>
      <c r="Z532" s="110"/>
      <c r="AA532" s="371"/>
      <c r="AB532" s="110"/>
      <c r="AC532" s="119"/>
      <c r="AD532" s="110"/>
      <c r="AE532" s="110"/>
      <c r="AF532" s="110"/>
      <c r="AG532" s="110"/>
      <c r="AH532" s="110"/>
      <c r="AI532" s="110"/>
      <c r="AJ532" s="110"/>
      <c r="AK532" s="110"/>
    </row>
    <row r="533" spans="1:37" x14ac:dyDescent="0.25">
      <c r="A533" s="110"/>
      <c r="B533" s="271"/>
      <c r="C533" s="271"/>
      <c r="D533" s="271"/>
      <c r="E533" s="371"/>
      <c r="F533" s="371"/>
      <c r="G533" s="371"/>
      <c r="H533" s="110"/>
      <c r="I533" s="110"/>
      <c r="J533" s="110"/>
      <c r="K533" s="371"/>
      <c r="L533" s="372"/>
      <c r="M533" s="372"/>
      <c r="N533" s="372"/>
      <c r="O533" s="372"/>
      <c r="P533" s="372"/>
      <c r="Q533" s="372"/>
      <c r="R533" s="372"/>
      <c r="S533" s="110"/>
      <c r="T533" s="371"/>
      <c r="U533" s="371"/>
      <c r="V533" s="110"/>
      <c r="W533" s="371"/>
      <c r="X533" s="371"/>
      <c r="Y533" s="371"/>
      <c r="Z533" s="110"/>
      <c r="AA533" s="371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</row>
    <row r="534" spans="1:37" x14ac:dyDescent="0.25">
      <c r="A534" s="110"/>
      <c r="B534" s="271"/>
      <c r="C534" s="271"/>
      <c r="D534" s="271"/>
      <c r="E534" s="371"/>
      <c r="F534" s="371"/>
      <c r="G534" s="371"/>
      <c r="H534" s="110"/>
      <c r="I534" s="110"/>
      <c r="J534" s="110"/>
      <c r="K534" s="371"/>
      <c r="L534" s="372"/>
      <c r="M534" s="372"/>
      <c r="N534" s="372"/>
      <c r="O534" s="372"/>
      <c r="P534" s="372"/>
      <c r="Q534" s="372"/>
      <c r="R534" s="372"/>
      <c r="S534" s="110"/>
      <c r="T534" s="371"/>
      <c r="U534" s="371"/>
      <c r="V534" s="110"/>
      <c r="W534" s="371"/>
      <c r="X534" s="371"/>
      <c r="Y534" s="371"/>
      <c r="Z534" s="110"/>
      <c r="AA534" s="371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</row>
    <row r="535" spans="1:37" x14ac:dyDescent="0.25">
      <c r="A535" s="110"/>
      <c r="B535" s="271"/>
      <c r="C535" s="271"/>
      <c r="D535" s="271"/>
      <c r="E535" s="371"/>
      <c r="F535" s="371"/>
      <c r="G535" s="371"/>
      <c r="H535" s="110"/>
      <c r="I535" s="110"/>
      <c r="J535" s="110"/>
      <c r="K535" s="371"/>
      <c r="L535" s="372"/>
      <c r="M535" s="372"/>
      <c r="N535" s="372"/>
      <c r="O535" s="372"/>
      <c r="P535" s="372"/>
      <c r="Q535" s="372"/>
      <c r="R535" s="372"/>
      <c r="S535" s="110"/>
      <c r="T535" s="371"/>
      <c r="U535" s="371"/>
      <c r="V535" s="110"/>
      <c r="W535" s="371"/>
      <c r="X535" s="371"/>
      <c r="Y535" s="371"/>
      <c r="Z535" s="110"/>
      <c r="AA535" s="371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</row>
    <row r="536" spans="1:37" x14ac:dyDescent="0.25">
      <c r="A536" s="110"/>
      <c r="B536" s="271"/>
      <c r="C536" s="271"/>
      <c r="D536" s="271"/>
      <c r="E536" s="371"/>
      <c r="F536" s="371"/>
      <c r="G536" s="371"/>
      <c r="H536" s="110"/>
      <c r="I536" s="110"/>
      <c r="J536" s="110"/>
      <c r="K536" s="371"/>
      <c r="L536" s="372"/>
      <c r="M536" s="372"/>
      <c r="N536" s="372"/>
      <c r="O536" s="372"/>
      <c r="P536" s="372"/>
      <c r="Q536" s="372"/>
      <c r="R536" s="372"/>
      <c r="S536" s="110"/>
      <c r="T536" s="371"/>
      <c r="U536" s="371"/>
      <c r="V536" s="110"/>
      <c r="W536" s="371"/>
      <c r="X536" s="371"/>
      <c r="Y536" s="371"/>
      <c r="Z536" s="110"/>
      <c r="AA536" s="371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</row>
    <row r="537" spans="1:37" x14ac:dyDescent="0.25">
      <c r="A537" s="110"/>
      <c r="B537" s="271"/>
      <c r="C537" s="271"/>
      <c r="D537" s="271"/>
      <c r="E537" s="371"/>
      <c r="F537" s="371"/>
      <c r="G537" s="371"/>
      <c r="H537" s="110"/>
      <c r="I537" s="110"/>
      <c r="J537" s="110"/>
      <c r="K537" s="371"/>
      <c r="L537" s="372"/>
      <c r="M537" s="372"/>
      <c r="N537" s="372"/>
      <c r="O537" s="372"/>
      <c r="P537" s="372"/>
      <c r="Q537" s="372"/>
      <c r="R537" s="372"/>
      <c r="S537" s="110"/>
      <c r="T537" s="371"/>
      <c r="U537" s="371"/>
      <c r="V537" s="110"/>
      <c r="W537" s="371"/>
      <c r="X537" s="371"/>
      <c r="Y537" s="371"/>
      <c r="Z537" s="110"/>
      <c r="AA537" s="371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</row>
    <row r="538" spans="1:37" x14ac:dyDescent="0.25">
      <c r="A538" s="110"/>
      <c r="B538" s="271"/>
      <c r="C538" s="271"/>
      <c r="D538" s="271"/>
      <c r="E538" s="371"/>
      <c r="F538" s="371"/>
      <c r="G538" s="371"/>
      <c r="H538" s="110"/>
      <c r="I538" s="110"/>
      <c r="J538" s="110"/>
      <c r="K538" s="371"/>
      <c r="L538" s="372"/>
      <c r="M538" s="372"/>
      <c r="N538" s="372"/>
      <c r="O538" s="372"/>
      <c r="P538" s="372"/>
      <c r="Q538" s="372"/>
      <c r="R538" s="372"/>
      <c r="S538" s="110"/>
      <c r="T538" s="371"/>
      <c r="U538" s="371"/>
      <c r="V538" s="110"/>
      <c r="W538" s="371"/>
      <c r="X538" s="371"/>
      <c r="Y538" s="371"/>
      <c r="Z538" s="110"/>
      <c r="AA538" s="371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</row>
    <row r="539" spans="1:37" x14ac:dyDescent="0.25">
      <c r="A539" s="110"/>
      <c r="B539" s="271"/>
      <c r="C539" s="271"/>
      <c r="D539" s="271"/>
      <c r="E539" s="371"/>
      <c r="F539" s="371"/>
      <c r="G539" s="371"/>
      <c r="H539" s="110"/>
      <c r="I539" s="110"/>
      <c r="J539" s="110"/>
      <c r="K539" s="371"/>
      <c r="L539" s="372"/>
      <c r="M539" s="372"/>
      <c r="N539" s="372"/>
      <c r="O539" s="372"/>
      <c r="P539" s="372"/>
      <c r="Q539" s="372"/>
      <c r="R539" s="372"/>
      <c r="S539" s="110"/>
      <c r="T539" s="371"/>
      <c r="U539" s="371"/>
      <c r="V539" s="110"/>
      <c r="W539" s="371"/>
      <c r="X539" s="371"/>
      <c r="Y539" s="371"/>
      <c r="Z539" s="110"/>
      <c r="AA539" s="371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</row>
    <row r="540" spans="1:37" x14ac:dyDescent="0.25">
      <c r="A540" s="110"/>
      <c r="B540" s="271"/>
      <c r="C540" s="271"/>
      <c r="D540" s="271"/>
      <c r="E540" s="371"/>
      <c r="F540" s="371"/>
      <c r="G540" s="371"/>
      <c r="H540" s="110"/>
      <c r="I540" s="110"/>
      <c r="J540" s="110"/>
      <c r="K540" s="371"/>
      <c r="L540" s="372"/>
      <c r="M540" s="372"/>
      <c r="N540" s="372"/>
      <c r="O540" s="372"/>
      <c r="P540" s="372"/>
      <c r="Q540" s="372"/>
      <c r="R540" s="372"/>
      <c r="S540" s="110"/>
      <c r="T540" s="371"/>
      <c r="U540" s="371"/>
      <c r="V540" s="110"/>
      <c r="W540" s="371"/>
      <c r="X540" s="371"/>
      <c r="Y540" s="371"/>
      <c r="Z540" s="110"/>
      <c r="AA540" s="371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</row>
    <row r="541" spans="1:37" x14ac:dyDescent="0.25">
      <c r="A541" s="110"/>
      <c r="B541" s="271"/>
      <c r="C541" s="271"/>
      <c r="D541" s="271"/>
      <c r="E541" s="371"/>
      <c r="F541" s="371"/>
      <c r="G541" s="371"/>
      <c r="H541" s="110"/>
      <c r="I541" s="110"/>
      <c r="J541" s="110"/>
      <c r="K541" s="371"/>
      <c r="L541" s="372"/>
      <c r="M541" s="372"/>
      <c r="N541" s="372"/>
      <c r="O541" s="372"/>
      <c r="P541" s="372"/>
      <c r="Q541" s="372"/>
      <c r="R541" s="372"/>
      <c r="S541" s="110"/>
      <c r="T541" s="371"/>
      <c r="U541" s="371"/>
      <c r="V541" s="110"/>
      <c r="W541" s="371"/>
      <c r="X541" s="371"/>
      <c r="Y541" s="371"/>
      <c r="Z541" s="110"/>
      <c r="AA541" s="371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</row>
    <row r="542" spans="1:37" x14ac:dyDescent="0.25">
      <c r="A542" s="110"/>
      <c r="B542" s="271"/>
      <c r="C542" s="271"/>
      <c r="D542" s="271"/>
      <c r="E542" s="371"/>
      <c r="F542" s="371"/>
      <c r="G542" s="371"/>
      <c r="H542" s="110"/>
      <c r="I542" s="110"/>
      <c r="J542" s="110"/>
      <c r="K542" s="371"/>
      <c r="L542" s="372"/>
      <c r="M542" s="372"/>
      <c r="N542" s="372"/>
      <c r="O542" s="372"/>
      <c r="P542" s="372"/>
      <c r="Q542" s="372"/>
      <c r="R542" s="372"/>
      <c r="S542" s="110"/>
      <c r="T542" s="371"/>
      <c r="U542" s="371"/>
      <c r="V542" s="110"/>
      <c r="W542" s="371"/>
      <c r="X542" s="371"/>
      <c r="Y542" s="371"/>
      <c r="Z542" s="110"/>
      <c r="AA542" s="371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</row>
    <row r="543" spans="1:37" x14ac:dyDescent="0.25">
      <c r="A543" s="110"/>
      <c r="B543" s="271"/>
      <c r="C543" s="271"/>
      <c r="D543" s="271"/>
      <c r="E543" s="371"/>
      <c r="F543" s="371"/>
      <c r="G543" s="371"/>
      <c r="H543" s="110"/>
      <c r="I543" s="110"/>
      <c r="J543" s="110"/>
      <c r="K543" s="371"/>
      <c r="L543" s="372"/>
      <c r="M543" s="372"/>
      <c r="N543" s="372"/>
      <c r="O543" s="372"/>
      <c r="P543" s="372"/>
      <c r="Q543" s="372"/>
      <c r="R543" s="372"/>
      <c r="S543" s="110"/>
      <c r="T543" s="371"/>
      <c r="U543" s="371"/>
      <c r="V543" s="110"/>
      <c r="W543" s="371"/>
      <c r="X543" s="371"/>
      <c r="Y543" s="371"/>
      <c r="Z543" s="110"/>
      <c r="AA543" s="371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</row>
    <row r="544" spans="1:37" x14ac:dyDescent="0.25">
      <c r="A544" s="110"/>
      <c r="B544" s="271"/>
      <c r="C544" s="271"/>
      <c r="D544" s="271"/>
      <c r="E544" s="371"/>
      <c r="F544" s="371"/>
      <c r="G544" s="371"/>
      <c r="H544" s="110"/>
      <c r="I544" s="110"/>
      <c r="J544" s="110"/>
      <c r="K544" s="371"/>
      <c r="L544" s="372"/>
      <c r="M544" s="372"/>
      <c r="N544" s="372"/>
      <c r="O544" s="372"/>
      <c r="P544" s="372"/>
      <c r="Q544" s="372"/>
      <c r="R544" s="372"/>
      <c r="S544" s="110"/>
      <c r="T544" s="371"/>
      <c r="U544" s="371"/>
      <c r="V544" s="110"/>
      <c r="W544" s="371"/>
      <c r="X544" s="371"/>
      <c r="Y544" s="371"/>
      <c r="Z544" s="110"/>
      <c r="AA544" s="371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</row>
    <row r="545" spans="1:37" x14ac:dyDescent="0.25">
      <c r="A545" s="110"/>
      <c r="B545" s="271"/>
      <c r="C545" s="271"/>
      <c r="D545" s="271"/>
      <c r="E545" s="371"/>
      <c r="F545" s="371"/>
      <c r="G545" s="371"/>
      <c r="H545" s="110"/>
      <c r="I545" s="110"/>
      <c r="J545" s="110"/>
      <c r="K545" s="371"/>
      <c r="L545" s="372"/>
      <c r="M545" s="372"/>
      <c r="N545" s="372"/>
      <c r="O545" s="372"/>
      <c r="P545" s="372"/>
      <c r="Q545" s="372"/>
      <c r="R545" s="372"/>
      <c r="S545" s="110"/>
      <c r="T545" s="371"/>
      <c r="U545" s="371"/>
      <c r="V545" s="110"/>
      <c r="W545" s="371"/>
      <c r="X545" s="371"/>
      <c r="Y545" s="371"/>
      <c r="Z545" s="110"/>
      <c r="AA545" s="371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</row>
    <row r="546" spans="1:37" x14ac:dyDescent="0.25">
      <c r="A546" s="110"/>
      <c r="B546" s="271"/>
      <c r="C546" s="271"/>
      <c r="D546" s="271"/>
      <c r="E546" s="371"/>
      <c r="F546" s="371"/>
      <c r="G546" s="371"/>
      <c r="H546" s="110"/>
      <c r="I546" s="110"/>
      <c r="J546" s="110"/>
      <c r="K546" s="371"/>
      <c r="L546" s="372"/>
      <c r="M546" s="372"/>
      <c r="N546" s="372"/>
      <c r="O546" s="372"/>
      <c r="P546" s="372"/>
      <c r="Q546" s="372"/>
      <c r="R546" s="372"/>
      <c r="S546" s="110"/>
      <c r="T546" s="371"/>
      <c r="U546" s="371"/>
      <c r="V546" s="110"/>
      <c r="W546" s="371"/>
      <c r="X546" s="371"/>
      <c r="Y546" s="371"/>
      <c r="Z546" s="110"/>
      <c r="AA546" s="371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</row>
    <row r="547" spans="1:37" x14ac:dyDescent="0.25">
      <c r="A547" s="110"/>
      <c r="B547" s="271"/>
      <c r="C547" s="271"/>
      <c r="D547" s="271"/>
      <c r="E547" s="371"/>
      <c r="F547" s="371"/>
      <c r="G547" s="371"/>
      <c r="H547" s="110"/>
      <c r="I547" s="110"/>
      <c r="J547" s="110"/>
      <c r="K547" s="371"/>
      <c r="L547" s="372"/>
      <c r="M547" s="372"/>
      <c r="N547" s="372"/>
      <c r="O547" s="372"/>
      <c r="P547" s="372"/>
      <c r="Q547" s="372"/>
      <c r="R547" s="372"/>
      <c r="S547" s="110"/>
      <c r="T547" s="371"/>
      <c r="U547" s="371"/>
      <c r="V547" s="110"/>
      <c r="W547" s="371"/>
      <c r="X547" s="371"/>
      <c r="Y547" s="371"/>
      <c r="Z547" s="110"/>
      <c r="AA547" s="371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</row>
    <row r="548" spans="1:37" x14ac:dyDescent="0.25">
      <c r="A548" s="110"/>
      <c r="B548" s="271"/>
      <c r="C548" s="271"/>
      <c r="D548" s="271"/>
      <c r="E548" s="371"/>
      <c r="F548" s="371"/>
      <c r="G548" s="371"/>
      <c r="H548" s="110"/>
      <c r="I548" s="110"/>
      <c r="J548" s="110"/>
      <c r="K548" s="371"/>
      <c r="L548" s="372"/>
      <c r="M548" s="372"/>
      <c r="N548" s="372"/>
      <c r="O548" s="372"/>
      <c r="P548" s="372"/>
      <c r="Q548" s="372"/>
      <c r="R548" s="372"/>
      <c r="S548" s="110"/>
      <c r="T548" s="371"/>
      <c r="U548" s="371"/>
      <c r="V548" s="110"/>
      <c r="W548" s="371"/>
      <c r="X548" s="371"/>
      <c r="Y548" s="371"/>
      <c r="Z548" s="110"/>
      <c r="AA548" s="371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</row>
    <row r="549" spans="1:37" x14ac:dyDescent="0.25">
      <c r="A549" s="110"/>
      <c r="B549" s="271"/>
      <c r="C549" s="271"/>
      <c r="D549" s="271"/>
      <c r="E549" s="371"/>
      <c r="F549" s="371"/>
      <c r="G549" s="371"/>
      <c r="H549" s="110"/>
      <c r="I549" s="110"/>
      <c r="J549" s="110"/>
      <c r="K549" s="371"/>
      <c r="L549" s="372"/>
      <c r="M549" s="372"/>
      <c r="N549" s="372"/>
      <c r="O549" s="372"/>
      <c r="P549" s="372"/>
      <c r="Q549" s="372"/>
      <c r="R549" s="372"/>
      <c r="S549" s="110"/>
      <c r="T549" s="371"/>
      <c r="U549" s="371"/>
      <c r="V549" s="110"/>
      <c r="W549" s="371"/>
      <c r="X549" s="371"/>
      <c r="Y549" s="371"/>
      <c r="Z549" s="110"/>
      <c r="AA549" s="371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</row>
    <row r="550" spans="1:37" x14ac:dyDescent="0.25">
      <c r="A550" s="110"/>
      <c r="B550" s="271"/>
      <c r="C550" s="271"/>
      <c r="D550" s="271"/>
      <c r="E550" s="371"/>
      <c r="F550" s="371"/>
      <c r="G550" s="371"/>
      <c r="H550" s="110"/>
      <c r="I550" s="110"/>
      <c r="J550" s="110"/>
      <c r="K550" s="371"/>
      <c r="L550" s="372"/>
      <c r="M550" s="372"/>
      <c r="N550" s="372"/>
      <c r="O550" s="372"/>
      <c r="P550" s="372"/>
      <c r="Q550" s="372"/>
      <c r="R550" s="372"/>
      <c r="S550" s="110"/>
      <c r="T550" s="371"/>
      <c r="U550" s="371"/>
      <c r="V550" s="110"/>
      <c r="W550" s="371"/>
      <c r="X550" s="371"/>
      <c r="Y550" s="371"/>
      <c r="Z550" s="110"/>
      <c r="AA550" s="371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</row>
    <row r="551" spans="1:37" x14ac:dyDescent="0.25">
      <c r="A551" s="110"/>
      <c r="B551" s="271"/>
      <c r="C551" s="271"/>
      <c r="D551" s="271"/>
      <c r="E551" s="371"/>
      <c r="F551" s="371"/>
      <c r="G551" s="371"/>
      <c r="H551" s="110"/>
      <c r="I551" s="110"/>
      <c r="J551" s="110"/>
      <c r="K551" s="371"/>
      <c r="L551" s="372"/>
      <c r="M551" s="372"/>
      <c r="N551" s="372"/>
      <c r="O551" s="372"/>
      <c r="P551" s="372"/>
      <c r="Q551" s="372"/>
      <c r="R551" s="372"/>
      <c r="S551" s="110"/>
      <c r="T551" s="371"/>
      <c r="U551" s="371"/>
      <c r="V551" s="110"/>
      <c r="W551" s="371"/>
      <c r="X551" s="371"/>
      <c r="Y551" s="371"/>
      <c r="Z551" s="110"/>
      <c r="AA551" s="371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</row>
    <row r="552" spans="1:37" x14ac:dyDescent="0.25">
      <c r="A552" s="110"/>
      <c r="B552" s="271"/>
      <c r="C552" s="271"/>
      <c r="D552" s="271"/>
      <c r="E552" s="371"/>
      <c r="F552" s="371"/>
      <c r="G552" s="371"/>
      <c r="H552" s="110"/>
      <c r="I552" s="110"/>
      <c r="J552" s="110"/>
      <c r="K552" s="371"/>
      <c r="L552" s="372"/>
      <c r="M552" s="372"/>
      <c r="N552" s="372"/>
      <c r="O552" s="372"/>
      <c r="P552" s="372"/>
      <c r="Q552" s="372"/>
      <c r="R552" s="372"/>
      <c r="S552" s="110"/>
      <c r="T552" s="371"/>
      <c r="U552" s="371"/>
      <c r="V552" s="110"/>
      <c r="W552" s="371"/>
      <c r="X552" s="371"/>
      <c r="Y552" s="371"/>
      <c r="Z552" s="110"/>
      <c r="AA552" s="371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</row>
    <row r="553" spans="1:37" x14ac:dyDescent="0.25">
      <c r="A553" s="110"/>
      <c r="B553" s="271"/>
      <c r="C553" s="271"/>
      <c r="D553" s="271"/>
      <c r="E553" s="371"/>
      <c r="F553" s="371"/>
      <c r="G553" s="371"/>
      <c r="H553" s="110"/>
      <c r="I553" s="110"/>
      <c r="J553" s="110"/>
      <c r="K553" s="371"/>
      <c r="L553" s="372"/>
      <c r="M553" s="372"/>
      <c r="N553" s="372"/>
      <c r="O553" s="372"/>
      <c r="P553" s="372"/>
      <c r="Q553" s="372"/>
      <c r="R553" s="372"/>
      <c r="S553" s="110"/>
      <c r="T553" s="371"/>
      <c r="U553" s="371"/>
      <c r="V553" s="110"/>
      <c r="W553" s="371"/>
      <c r="X553" s="371"/>
      <c r="Y553" s="371"/>
      <c r="Z553" s="110"/>
      <c r="AA553" s="371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</row>
    <row r="554" spans="1:37" x14ac:dyDescent="0.25">
      <c r="A554" s="110"/>
      <c r="B554" s="271"/>
      <c r="C554" s="271"/>
      <c r="D554" s="271"/>
      <c r="E554" s="371"/>
      <c r="F554" s="371"/>
      <c r="G554" s="371"/>
      <c r="H554" s="110"/>
      <c r="I554" s="110"/>
      <c r="J554" s="110"/>
      <c r="K554" s="371"/>
      <c r="L554" s="372"/>
      <c r="M554" s="372"/>
      <c r="N554" s="372"/>
      <c r="O554" s="372"/>
      <c r="P554" s="372"/>
      <c r="Q554" s="372"/>
      <c r="R554" s="372"/>
      <c r="S554" s="110"/>
      <c r="T554" s="371"/>
      <c r="U554" s="371"/>
      <c r="V554" s="110"/>
      <c r="W554" s="371"/>
      <c r="X554" s="371"/>
      <c r="Y554" s="371"/>
      <c r="Z554" s="110"/>
      <c r="AA554" s="371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</row>
    <row r="555" spans="1:37" x14ac:dyDescent="0.25">
      <c r="A555" s="110"/>
      <c r="B555" s="271"/>
      <c r="C555" s="271"/>
      <c r="D555" s="271"/>
      <c r="E555" s="371"/>
      <c r="F555" s="371"/>
      <c r="G555" s="371"/>
      <c r="H555" s="110"/>
      <c r="I555" s="110"/>
      <c r="J555" s="110"/>
      <c r="K555" s="371"/>
      <c r="L555" s="372"/>
      <c r="M555" s="372"/>
      <c r="N555" s="372"/>
      <c r="O555" s="372"/>
      <c r="P555" s="372"/>
      <c r="Q555" s="372"/>
      <c r="R555" s="372"/>
      <c r="S555" s="110"/>
      <c r="T555" s="371"/>
      <c r="U555" s="371"/>
      <c r="V555" s="110"/>
      <c r="W555" s="371"/>
      <c r="X555" s="371"/>
      <c r="Y555" s="371"/>
      <c r="Z555" s="110"/>
      <c r="AA555" s="371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</row>
    <row r="556" spans="1:37" x14ac:dyDescent="0.25">
      <c r="A556" s="110"/>
      <c r="B556" s="271"/>
      <c r="C556" s="271"/>
      <c r="D556" s="271"/>
      <c r="E556" s="371"/>
      <c r="F556" s="371"/>
      <c r="G556" s="371"/>
      <c r="H556" s="110"/>
      <c r="I556" s="110"/>
      <c r="J556" s="110"/>
      <c r="K556" s="371"/>
      <c r="L556" s="372"/>
      <c r="M556" s="372"/>
      <c r="N556" s="372"/>
      <c r="O556" s="372"/>
      <c r="P556" s="372"/>
      <c r="Q556" s="372"/>
      <c r="R556" s="372"/>
      <c r="S556" s="110"/>
      <c r="T556" s="371"/>
      <c r="U556" s="371"/>
      <c r="V556" s="110"/>
      <c r="W556" s="371"/>
      <c r="X556" s="371"/>
      <c r="Y556" s="371"/>
      <c r="Z556" s="110"/>
      <c r="AA556" s="371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</row>
    <row r="557" spans="1:37" x14ac:dyDescent="0.25">
      <c r="A557" s="110"/>
      <c r="B557" s="271"/>
      <c r="C557" s="271"/>
      <c r="D557" s="271"/>
      <c r="E557" s="371"/>
      <c r="F557" s="371"/>
      <c r="G557" s="371"/>
      <c r="H557" s="110"/>
      <c r="I557" s="110"/>
      <c r="J557" s="110"/>
      <c r="K557" s="371"/>
      <c r="L557" s="372"/>
      <c r="M557" s="372"/>
      <c r="N557" s="372"/>
      <c r="O557" s="372"/>
      <c r="P557" s="372"/>
      <c r="Q557" s="372"/>
      <c r="R557" s="372"/>
      <c r="S557" s="110"/>
      <c r="T557" s="371"/>
      <c r="U557" s="371"/>
      <c r="V557" s="110"/>
      <c r="W557" s="371"/>
      <c r="X557" s="371"/>
      <c r="Y557" s="371"/>
      <c r="Z557" s="110"/>
      <c r="AA557" s="371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</row>
    <row r="558" spans="1:37" x14ac:dyDescent="0.25">
      <c r="A558" s="110"/>
      <c r="B558" s="271"/>
      <c r="C558" s="271"/>
      <c r="D558" s="271"/>
      <c r="E558" s="371"/>
      <c r="F558" s="371"/>
      <c r="G558" s="371"/>
      <c r="H558" s="110"/>
      <c r="I558" s="110"/>
      <c r="J558" s="110"/>
      <c r="K558" s="371"/>
      <c r="L558" s="372"/>
      <c r="M558" s="372"/>
      <c r="N558" s="372"/>
      <c r="O558" s="372"/>
      <c r="P558" s="372"/>
      <c r="Q558" s="372"/>
      <c r="R558" s="372"/>
      <c r="S558" s="110"/>
      <c r="T558" s="371"/>
      <c r="U558" s="371"/>
      <c r="V558" s="110"/>
      <c r="W558" s="371"/>
      <c r="X558" s="371"/>
      <c r="Y558" s="371"/>
      <c r="Z558" s="110"/>
      <c r="AA558" s="371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</row>
    <row r="559" spans="1:37" x14ac:dyDescent="0.25">
      <c r="A559" s="110"/>
      <c r="B559" s="271"/>
      <c r="C559" s="271"/>
      <c r="D559" s="271"/>
      <c r="E559" s="371"/>
      <c r="F559" s="371"/>
      <c r="G559" s="371"/>
      <c r="H559" s="110"/>
      <c r="I559" s="110"/>
      <c r="J559" s="110"/>
      <c r="K559" s="371"/>
      <c r="L559" s="372"/>
      <c r="M559" s="372"/>
      <c r="N559" s="372"/>
      <c r="O559" s="372"/>
      <c r="P559" s="372"/>
      <c r="Q559" s="372"/>
      <c r="R559" s="372"/>
      <c r="S559" s="110"/>
      <c r="T559" s="371"/>
      <c r="U559" s="371"/>
      <c r="V559" s="110"/>
      <c r="W559" s="371"/>
      <c r="X559" s="371"/>
      <c r="Y559" s="371"/>
      <c r="Z559" s="110"/>
      <c r="AA559" s="371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</row>
    <row r="560" spans="1:37" x14ac:dyDescent="0.25">
      <c r="A560" s="110"/>
      <c r="B560" s="271"/>
      <c r="C560" s="271"/>
      <c r="D560" s="271"/>
      <c r="E560" s="371"/>
      <c r="F560" s="371"/>
      <c r="G560" s="371"/>
      <c r="H560" s="110"/>
      <c r="I560" s="110"/>
      <c r="J560" s="110"/>
      <c r="K560" s="371"/>
      <c r="L560" s="372"/>
      <c r="M560" s="372"/>
      <c r="N560" s="372"/>
      <c r="O560" s="372"/>
      <c r="P560" s="372"/>
      <c r="Q560" s="372"/>
      <c r="R560" s="372"/>
      <c r="S560" s="110"/>
      <c r="T560" s="371"/>
      <c r="U560" s="371"/>
      <c r="V560" s="110"/>
      <c r="W560" s="371"/>
      <c r="X560" s="371"/>
      <c r="Y560" s="371"/>
      <c r="Z560" s="110"/>
      <c r="AA560" s="371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</row>
    <row r="561" spans="1:37" x14ac:dyDescent="0.25">
      <c r="A561" s="110"/>
      <c r="B561" s="271"/>
      <c r="C561" s="271"/>
      <c r="D561" s="271"/>
      <c r="E561" s="371"/>
      <c r="F561" s="371"/>
      <c r="G561" s="371"/>
      <c r="H561" s="110"/>
      <c r="I561" s="110"/>
      <c r="J561" s="110"/>
      <c r="K561" s="371"/>
      <c r="L561" s="372"/>
      <c r="M561" s="372"/>
      <c r="N561" s="372"/>
      <c r="O561" s="372"/>
      <c r="P561" s="372"/>
      <c r="Q561" s="372"/>
      <c r="R561" s="372"/>
      <c r="S561" s="110"/>
      <c r="T561" s="371"/>
      <c r="U561" s="371"/>
      <c r="V561" s="110"/>
      <c r="W561" s="371"/>
      <c r="X561" s="371"/>
      <c r="Y561" s="371"/>
      <c r="Z561" s="110"/>
      <c r="AA561" s="371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</row>
    <row r="562" spans="1:37" x14ac:dyDescent="0.25">
      <c r="A562" s="110"/>
      <c r="B562" s="271"/>
      <c r="C562" s="271"/>
      <c r="D562" s="271"/>
      <c r="E562" s="371"/>
      <c r="F562" s="371"/>
      <c r="G562" s="371"/>
      <c r="H562" s="110"/>
      <c r="I562" s="110"/>
      <c r="J562" s="110"/>
      <c r="K562" s="371"/>
      <c r="L562" s="372"/>
      <c r="M562" s="372"/>
      <c r="N562" s="372"/>
      <c r="O562" s="372"/>
      <c r="P562" s="372"/>
      <c r="Q562" s="372"/>
      <c r="R562" s="372"/>
      <c r="S562" s="110"/>
      <c r="T562" s="371"/>
      <c r="U562" s="371"/>
      <c r="V562" s="110"/>
      <c r="W562" s="371"/>
      <c r="X562" s="371"/>
      <c r="Y562" s="371"/>
      <c r="Z562" s="110"/>
      <c r="AA562" s="371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</row>
    <row r="563" spans="1:37" x14ac:dyDescent="0.25">
      <c r="A563" s="110"/>
      <c r="B563" s="271"/>
      <c r="C563" s="271"/>
      <c r="D563" s="271"/>
      <c r="E563" s="371"/>
      <c r="F563" s="371"/>
      <c r="G563" s="371"/>
      <c r="H563" s="110"/>
      <c r="I563" s="110"/>
      <c r="J563" s="110"/>
      <c r="K563" s="371"/>
      <c r="L563" s="372"/>
      <c r="M563" s="372"/>
      <c r="N563" s="372"/>
      <c r="O563" s="372"/>
      <c r="P563" s="372"/>
      <c r="Q563" s="372"/>
      <c r="R563" s="372"/>
      <c r="S563" s="110"/>
      <c r="T563" s="371"/>
      <c r="U563" s="371"/>
      <c r="V563" s="110"/>
      <c r="W563" s="371"/>
      <c r="X563" s="371"/>
      <c r="Y563" s="371"/>
      <c r="Z563" s="110"/>
      <c r="AA563" s="371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</row>
    <row r="564" spans="1:37" x14ac:dyDescent="0.25">
      <c r="A564" s="110"/>
      <c r="B564" s="271"/>
      <c r="C564" s="271"/>
      <c r="D564" s="271"/>
      <c r="E564" s="371"/>
      <c r="F564" s="371"/>
      <c r="G564" s="371"/>
      <c r="H564" s="110"/>
      <c r="I564" s="110"/>
      <c r="J564" s="110"/>
      <c r="K564" s="371"/>
      <c r="L564" s="372"/>
      <c r="M564" s="372"/>
      <c r="N564" s="372"/>
      <c r="O564" s="372"/>
      <c r="P564" s="372"/>
      <c r="Q564" s="372"/>
      <c r="R564" s="372"/>
      <c r="S564" s="110"/>
      <c r="T564" s="371"/>
      <c r="U564" s="371"/>
      <c r="V564" s="110"/>
      <c r="W564" s="371"/>
      <c r="X564" s="371"/>
      <c r="Y564" s="371"/>
      <c r="Z564" s="110"/>
      <c r="AA564" s="371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</row>
    <row r="565" spans="1:37" x14ac:dyDescent="0.25">
      <c r="A565" s="110"/>
      <c r="B565" s="271"/>
      <c r="C565" s="271"/>
      <c r="D565" s="271"/>
      <c r="E565" s="371"/>
      <c r="F565" s="371"/>
      <c r="G565" s="371"/>
      <c r="H565" s="110"/>
      <c r="I565" s="110"/>
      <c r="J565" s="110"/>
      <c r="K565" s="371"/>
      <c r="L565" s="372"/>
      <c r="M565" s="372"/>
      <c r="N565" s="372"/>
      <c r="O565" s="372"/>
      <c r="P565" s="372"/>
      <c r="Q565" s="372"/>
      <c r="R565" s="372"/>
      <c r="S565" s="110"/>
      <c r="T565" s="371"/>
      <c r="U565" s="371"/>
      <c r="V565" s="110"/>
      <c r="W565" s="371"/>
      <c r="X565" s="371"/>
      <c r="Y565" s="371"/>
      <c r="Z565" s="110"/>
      <c r="AA565" s="371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</row>
    <row r="566" spans="1:37" x14ac:dyDescent="0.25">
      <c r="A566" s="110"/>
      <c r="B566" s="271"/>
      <c r="C566" s="271"/>
      <c r="D566" s="271"/>
      <c r="E566" s="371"/>
      <c r="F566" s="371"/>
      <c r="G566" s="371"/>
      <c r="H566" s="110"/>
      <c r="I566" s="110"/>
      <c r="J566" s="110"/>
      <c r="K566" s="371"/>
      <c r="L566" s="372"/>
      <c r="M566" s="372"/>
      <c r="N566" s="372"/>
      <c r="O566" s="372"/>
      <c r="P566" s="372"/>
      <c r="Q566" s="372"/>
      <c r="R566" s="372"/>
      <c r="S566" s="110"/>
      <c r="T566" s="371"/>
      <c r="U566" s="371"/>
      <c r="V566" s="110"/>
      <c r="W566" s="371"/>
      <c r="X566" s="371"/>
      <c r="Y566" s="371"/>
      <c r="Z566" s="110"/>
      <c r="AA566" s="371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</row>
    <row r="567" spans="1:37" x14ac:dyDescent="0.25">
      <c r="A567" s="110"/>
      <c r="B567" s="271"/>
      <c r="C567" s="271"/>
      <c r="D567" s="271"/>
      <c r="E567" s="371"/>
      <c r="F567" s="371"/>
      <c r="G567" s="371"/>
      <c r="H567" s="110"/>
      <c r="I567" s="110"/>
      <c r="J567" s="110"/>
      <c r="K567" s="371"/>
      <c r="L567" s="372"/>
      <c r="M567" s="372"/>
      <c r="N567" s="372"/>
      <c r="O567" s="372"/>
      <c r="P567" s="372"/>
      <c r="Q567" s="372"/>
      <c r="R567" s="372"/>
      <c r="S567" s="110"/>
      <c r="T567" s="371"/>
      <c r="U567" s="371"/>
      <c r="V567" s="110"/>
      <c r="W567" s="371"/>
      <c r="X567" s="371"/>
      <c r="Y567" s="371"/>
      <c r="Z567" s="110"/>
      <c r="AA567" s="371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</row>
    <row r="568" spans="1:37" x14ac:dyDescent="0.25">
      <c r="A568" s="110"/>
      <c r="B568" s="271"/>
      <c r="C568" s="271"/>
      <c r="D568" s="271"/>
      <c r="E568" s="371"/>
      <c r="F568" s="371"/>
      <c r="G568" s="371"/>
      <c r="H568" s="110"/>
      <c r="I568" s="110"/>
      <c r="J568" s="110"/>
      <c r="K568" s="371"/>
      <c r="L568" s="372"/>
      <c r="M568" s="372"/>
      <c r="N568" s="372"/>
      <c r="O568" s="372"/>
      <c r="P568" s="372"/>
      <c r="Q568" s="372"/>
      <c r="R568" s="372"/>
      <c r="S568" s="110"/>
      <c r="T568" s="371"/>
      <c r="U568" s="371"/>
      <c r="V568" s="110"/>
      <c r="W568" s="371"/>
      <c r="X568" s="371"/>
      <c r="Y568" s="371"/>
      <c r="Z568" s="110"/>
      <c r="AA568" s="371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</row>
    <row r="569" spans="1:37" x14ac:dyDescent="0.25">
      <c r="A569" s="110"/>
      <c r="B569" s="271"/>
      <c r="C569" s="271"/>
      <c r="D569" s="271"/>
      <c r="E569" s="371"/>
      <c r="F569" s="371"/>
      <c r="G569" s="371"/>
      <c r="H569" s="110"/>
      <c r="I569" s="110"/>
      <c r="J569" s="110"/>
      <c r="K569" s="371"/>
      <c r="L569" s="372"/>
      <c r="M569" s="372"/>
      <c r="N569" s="372"/>
      <c r="O569" s="372"/>
      <c r="P569" s="372"/>
      <c r="Q569" s="372"/>
      <c r="R569" s="372"/>
      <c r="S569" s="110"/>
      <c r="T569" s="371"/>
      <c r="U569" s="371"/>
      <c r="V569" s="110"/>
      <c r="W569" s="371"/>
      <c r="X569" s="371"/>
      <c r="Y569" s="371"/>
      <c r="Z569" s="110"/>
      <c r="AA569" s="371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</row>
    <row r="570" spans="1:37" x14ac:dyDescent="0.25">
      <c r="A570" s="110"/>
      <c r="B570" s="271"/>
      <c r="C570" s="271"/>
      <c r="D570" s="271"/>
      <c r="E570" s="371"/>
      <c r="F570" s="371"/>
      <c r="G570" s="371"/>
      <c r="H570" s="110"/>
      <c r="I570" s="110"/>
      <c r="J570" s="110"/>
      <c r="K570" s="371"/>
      <c r="L570" s="372"/>
      <c r="M570" s="372"/>
      <c r="N570" s="372"/>
      <c r="O570" s="372"/>
      <c r="P570" s="372"/>
      <c r="Q570" s="372"/>
      <c r="R570" s="372"/>
      <c r="S570" s="110"/>
      <c r="T570" s="371"/>
      <c r="U570" s="371"/>
      <c r="V570" s="110"/>
      <c r="W570" s="371"/>
      <c r="X570" s="371"/>
      <c r="Y570" s="371"/>
      <c r="Z570" s="110"/>
      <c r="AA570" s="371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</row>
    <row r="571" spans="1:37" x14ac:dyDescent="0.25">
      <c r="A571" s="110"/>
      <c r="B571" s="271"/>
      <c r="C571" s="271"/>
      <c r="D571" s="271"/>
      <c r="E571" s="371"/>
      <c r="F571" s="371"/>
      <c r="G571" s="371"/>
      <c r="H571" s="110"/>
      <c r="I571" s="110"/>
      <c r="J571" s="110"/>
      <c r="K571" s="371"/>
      <c r="L571" s="372"/>
      <c r="M571" s="372"/>
      <c r="N571" s="372"/>
      <c r="O571" s="372"/>
      <c r="P571" s="372"/>
      <c r="Q571" s="372"/>
      <c r="R571" s="372"/>
      <c r="S571" s="110"/>
      <c r="T571" s="371"/>
      <c r="U571" s="371"/>
      <c r="V571" s="110"/>
      <c r="W571" s="371"/>
      <c r="X571" s="371"/>
      <c r="Y571" s="371"/>
      <c r="Z571" s="110"/>
      <c r="AA571" s="371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</row>
    <row r="572" spans="1:37" x14ac:dyDescent="0.25">
      <c r="A572" s="110"/>
      <c r="B572" s="271"/>
      <c r="C572" s="271"/>
      <c r="D572" s="271"/>
      <c r="E572" s="371"/>
      <c r="F572" s="371"/>
      <c r="G572" s="371"/>
      <c r="H572" s="110"/>
      <c r="I572" s="110"/>
      <c r="J572" s="110"/>
      <c r="K572" s="371"/>
      <c r="L572" s="372"/>
      <c r="M572" s="372"/>
      <c r="N572" s="372"/>
      <c r="O572" s="372"/>
      <c r="P572" s="372"/>
      <c r="Q572" s="372"/>
      <c r="R572" s="372"/>
      <c r="S572" s="110"/>
      <c r="T572" s="371"/>
      <c r="U572" s="371"/>
      <c r="V572" s="110"/>
      <c r="W572" s="371"/>
      <c r="X572" s="371"/>
      <c r="Y572" s="371"/>
      <c r="Z572" s="110"/>
      <c r="AA572" s="371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</row>
    <row r="573" spans="1:37" x14ac:dyDescent="0.25">
      <c r="A573" s="110"/>
      <c r="B573" s="271"/>
      <c r="C573" s="271"/>
      <c r="D573" s="271"/>
      <c r="E573" s="371"/>
      <c r="F573" s="371"/>
      <c r="G573" s="371"/>
      <c r="H573" s="110"/>
      <c r="I573" s="110"/>
      <c r="J573" s="110"/>
      <c r="K573" s="371"/>
      <c r="L573" s="372"/>
      <c r="M573" s="372"/>
      <c r="N573" s="372"/>
      <c r="O573" s="372"/>
      <c r="P573" s="372"/>
      <c r="Q573" s="372"/>
      <c r="R573" s="372"/>
      <c r="S573" s="110"/>
      <c r="T573" s="371"/>
      <c r="U573" s="371"/>
      <c r="V573" s="110"/>
      <c r="W573" s="371"/>
      <c r="X573" s="371"/>
      <c r="Y573" s="371"/>
      <c r="Z573" s="110"/>
      <c r="AA573" s="371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</row>
    <row r="574" spans="1:37" x14ac:dyDescent="0.25">
      <c r="A574" s="110"/>
      <c r="B574" s="271"/>
      <c r="C574" s="271"/>
      <c r="D574" s="271"/>
      <c r="E574" s="371"/>
      <c r="F574" s="371"/>
      <c r="G574" s="371"/>
      <c r="H574" s="110"/>
      <c r="I574" s="110"/>
      <c r="J574" s="110"/>
      <c r="K574" s="371"/>
      <c r="L574" s="372"/>
      <c r="M574" s="372"/>
      <c r="N574" s="372"/>
      <c r="O574" s="372"/>
      <c r="P574" s="372"/>
      <c r="Q574" s="372"/>
      <c r="R574" s="372"/>
      <c r="S574" s="110"/>
      <c r="T574" s="371"/>
      <c r="U574" s="371"/>
      <c r="V574" s="110"/>
      <c r="W574" s="371"/>
      <c r="X574" s="371"/>
      <c r="Y574" s="371"/>
      <c r="Z574" s="110"/>
      <c r="AA574" s="371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</row>
    <row r="575" spans="1:37" x14ac:dyDescent="0.25">
      <c r="A575" s="110"/>
      <c r="B575" s="271"/>
      <c r="C575" s="271"/>
      <c r="D575" s="271"/>
      <c r="E575" s="371"/>
      <c r="F575" s="371"/>
      <c r="G575" s="371"/>
      <c r="H575" s="110"/>
      <c r="I575" s="110"/>
      <c r="J575" s="110"/>
      <c r="K575" s="371"/>
      <c r="L575" s="372"/>
      <c r="M575" s="372"/>
      <c r="N575" s="372"/>
      <c r="O575" s="372"/>
      <c r="P575" s="372"/>
      <c r="Q575" s="372"/>
      <c r="R575" s="372"/>
      <c r="S575" s="110"/>
      <c r="T575" s="371"/>
      <c r="U575" s="371"/>
      <c r="V575" s="110"/>
      <c r="W575" s="371"/>
      <c r="X575" s="371"/>
      <c r="Y575" s="371"/>
      <c r="Z575" s="110"/>
      <c r="AA575" s="371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</row>
    <row r="576" spans="1:37" x14ac:dyDescent="0.25">
      <c r="A576" s="110"/>
      <c r="B576" s="271"/>
      <c r="C576" s="271"/>
      <c r="D576" s="271"/>
      <c r="E576" s="371"/>
      <c r="F576" s="371"/>
      <c r="G576" s="371"/>
      <c r="H576" s="110"/>
      <c r="I576" s="110"/>
      <c r="J576" s="110"/>
      <c r="K576" s="371"/>
      <c r="L576" s="372"/>
      <c r="M576" s="372"/>
      <c r="N576" s="372"/>
      <c r="O576" s="372"/>
      <c r="P576" s="372"/>
      <c r="Q576" s="372"/>
      <c r="R576" s="372"/>
      <c r="S576" s="110"/>
      <c r="T576" s="371"/>
      <c r="U576" s="371"/>
      <c r="V576" s="110"/>
      <c r="W576" s="371"/>
      <c r="X576" s="371"/>
      <c r="Y576" s="371"/>
      <c r="Z576" s="110"/>
      <c r="AA576" s="371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</row>
    <row r="577" spans="1:28" x14ac:dyDescent="0.25">
      <c r="A577" s="81"/>
      <c r="B577" s="271"/>
      <c r="C577" s="271"/>
      <c r="D577" s="271"/>
      <c r="E577" s="373"/>
      <c r="F577" s="371"/>
      <c r="G577" s="371"/>
      <c r="H577" s="110"/>
      <c r="I577" s="110"/>
      <c r="J577" s="110"/>
      <c r="K577" s="373"/>
      <c r="L577" s="374"/>
      <c r="M577" s="374"/>
      <c r="N577" s="374"/>
      <c r="O577" s="374"/>
      <c r="P577" s="372"/>
      <c r="Q577" s="372"/>
      <c r="R577" s="372"/>
      <c r="S577" s="110"/>
      <c r="T577" s="373"/>
      <c r="U577" s="373"/>
      <c r="V577" s="110"/>
      <c r="W577" s="371"/>
      <c r="X577" s="371"/>
      <c r="Y577" s="371"/>
      <c r="Z577" s="110"/>
      <c r="AA577" s="371"/>
      <c r="AB577" s="110"/>
    </row>
    <row r="578" spans="1:28" x14ac:dyDescent="0.25">
      <c r="A578" s="81"/>
      <c r="B578" s="271"/>
      <c r="C578" s="271"/>
      <c r="D578" s="271"/>
      <c r="E578" s="373"/>
      <c r="F578" s="371"/>
      <c r="G578" s="371"/>
      <c r="H578" s="110"/>
      <c r="I578" s="110"/>
      <c r="J578" s="110"/>
      <c r="K578" s="373"/>
      <c r="L578" s="374"/>
      <c r="M578" s="374"/>
      <c r="N578" s="374"/>
      <c r="O578" s="374"/>
      <c r="P578" s="372"/>
      <c r="Q578" s="372"/>
      <c r="R578" s="372"/>
      <c r="S578" s="110"/>
      <c r="T578" s="373"/>
      <c r="U578" s="373"/>
      <c r="V578" s="110"/>
      <c r="W578" s="371"/>
      <c r="X578" s="371"/>
      <c r="Y578" s="371"/>
      <c r="Z578" s="110"/>
      <c r="AA578" s="371"/>
      <c r="AB578" s="110"/>
    </row>
    <row r="579" spans="1:28" x14ac:dyDescent="0.25">
      <c r="A579" s="81"/>
      <c r="B579" s="271"/>
      <c r="C579" s="271"/>
      <c r="D579" s="271"/>
      <c r="E579" s="373"/>
      <c r="F579" s="371"/>
      <c r="G579" s="371"/>
      <c r="H579" s="110"/>
      <c r="I579" s="110"/>
      <c r="J579" s="110"/>
      <c r="K579" s="373"/>
      <c r="L579" s="374"/>
      <c r="M579" s="374"/>
      <c r="N579" s="374"/>
      <c r="O579" s="374"/>
      <c r="P579" s="372"/>
      <c r="Q579" s="372"/>
      <c r="R579" s="372"/>
      <c r="S579" s="110"/>
      <c r="T579" s="373"/>
      <c r="U579" s="373"/>
      <c r="V579" s="110"/>
      <c r="W579" s="371"/>
      <c r="X579" s="371"/>
      <c r="Y579" s="371"/>
      <c r="Z579" s="110"/>
      <c r="AA579" s="371"/>
      <c r="AB579" s="110"/>
    </row>
    <row r="580" spans="1:28" x14ac:dyDescent="0.25">
      <c r="A580" s="81"/>
      <c r="B580" s="271"/>
      <c r="C580" s="271"/>
      <c r="D580" s="271"/>
      <c r="E580" s="373"/>
      <c r="F580" s="371"/>
      <c r="G580" s="371"/>
      <c r="H580" s="110"/>
      <c r="I580" s="110"/>
      <c r="J580" s="110"/>
      <c r="K580" s="373"/>
      <c r="L580" s="374"/>
      <c r="M580" s="374"/>
      <c r="N580" s="374"/>
      <c r="O580" s="374"/>
      <c r="P580" s="372"/>
      <c r="Q580" s="372"/>
      <c r="R580" s="372"/>
      <c r="S580" s="110"/>
      <c r="T580" s="373"/>
      <c r="U580" s="373"/>
      <c r="V580" s="110"/>
      <c r="W580" s="371"/>
      <c r="X580" s="371"/>
      <c r="Y580" s="371"/>
      <c r="Z580" s="110"/>
      <c r="AA580" s="371"/>
      <c r="AB580" s="110"/>
    </row>
    <row r="581" spans="1:28" x14ac:dyDescent="0.25">
      <c r="A581" s="81"/>
      <c r="B581" s="271"/>
      <c r="C581" s="271"/>
      <c r="D581" s="271"/>
      <c r="E581" s="373"/>
      <c r="F581" s="371"/>
      <c r="G581" s="371"/>
      <c r="H581" s="110"/>
      <c r="I581" s="110"/>
      <c r="J581" s="110"/>
      <c r="K581" s="373"/>
      <c r="L581" s="374"/>
      <c r="M581" s="374"/>
      <c r="N581" s="374"/>
      <c r="O581" s="374"/>
      <c r="P581" s="372"/>
      <c r="Q581" s="372"/>
      <c r="R581" s="372"/>
      <c r="S581" s="110"/>
      <c r="T581" s="373"/>
      <c r="U581" s="373"/>
      <c r="V581" s="110"/>
      <c r="W581" s="371"/>
      <c r="X581" s="371"/>
      <c r="Y581" s="371"/>
      <c r="Z581" s="110"/>
      <c r="AA581" s="371"/>
      <c r="AB581" s="110"/>
    </row>
    <row r="582" spans="1:28" x14ac:dyDescent="0.25">
      <c r="A582" s="81"/>
      <c r="B582" s="271"/>
      <c r="C582" s="271"/>
      <c r="D582" s="271"/>
      <c r="E582" s="373"/>
      <c r="F582" s="371"/>
      <c r="G582" s="371"/>
      <c r="H582" s="110"/>
      <c r="I582" s="110"/>
      <c r="J582" s="110"/>
      <c r="K582" s="373"/>
      <c r="L582" s="374"/>
      <c r="M582" s="374"/>
      <c r="N582" s="374"/>
      <c r="O582" s="374"/>
      <c r="P582" s="372"/>
      <c r="Q582" s="372"/>
      <c r="R582" s="372"/>
      <c r="S582" s="110"/>
      <c r="T582" s="373"/>
      <c r="U582" s="373"/>
      <c r="V582" s="110"/>
      <c r="W582" s="371"/>
      <c r="X582" s="371"/>
      <c r="Y582" s="371"/>
      <c r="Z582" s="110"/>
      <c r="AA582" s="371"/>
      <c r="AB582" s="110"/>
    </row>
    <row r="583" spans="1:28" x14ac:dyDescent="0.25">
      <c r="A583" s="81"/>
      <c r="B583" s="271"/>
      <c r="C583" s="271"/>
      <c r="D583" s="271"/>
      <c r="E583" s="373"/>
      <c r="F583" s="371"/>
      <c r="G583" s="371"/>
      <c r="H583" s="110"/>
      <c r="I583" s="110"/>
      <c r="J583" s="110"/>
      <c r="K583" s="373"/>
      <c r="L583" s="374"/>
      <c r="M583" s="374"/>
      <c r="N583" s="374"/>
      <c r="O583" s="374"/>
      <c r="P583" s="372"/>
      <c r="Q583" s="372"/>
      <c r="R583" s="372"/>
      <c r="S583" s="110"/>
      <c r="T583" s="373"/>
      <c r="U583" s="373"/>
      <c r="V583" s="110"/>
      <c r="W583" s="371"/>
      <c r="X583" s="371"/>
      <c r="Y583" s="371"/>
      <c r="Z583" s="110"/>
      <c r="AA583" s="371"/>
      <c r="AB583" s="110"/>
    </row>
    <row r="584" spans="1:28" x14ac:dyDescent="0.25">
      <c r="A584" s="81"/>
      <c r="B584" s="271"/>
      <c r="C584" s="271"/>
      <c r="D584" s="271"/>
      <c r="E584" s="373"/>
      <c r="F584" s="371"/>
      <c r="G584" s="371"/>
      <c r="H584" s="110"/>
      <c r="I584" s="110"/>
      <c r="J584" s="110"/>
      <c r="K584" s="373"/>
      <c r="L584" s="374"/>
      <c r="M584" s="374"/>
      <c r="N584" s="374"/>
      <c r="O584" s="374"/>
      <c r="P584" s="372"/>
      <c r="Q584" s="372"/>
      <c r="R584" s="372"/>
      <c r="S584" s="110"/>
      <c r="T584" s="373"/>
      <c r="U584" s="373"/>
      <c r="V584" s="110"/>
      <c r="W584" s="371"/>
      <c r="X584" s="371"/>
      <c r="Y584" s="371"/>
      <c r="Z584" s="110"/>
      <c r="AA584" s="371"/>
      <c r="AB584" s="110"/>
    </row>
    <row r="585" spans="1:28" x14ac:dyDescent="0.25">
      <c r="A585" s="81"/>
      <c r="B585" s="271"/>
      <c r="C585" s="271"/>
      <c r="D585" s="271"/>
      <c r="E585" s="373"/>
      <c r="F585" s="371"/>
      <c r="G585" s="371"/>
      <c r="H585" s="110"/>
      <c r="I585" s="110"/>
      <c r="J585" s="110"/>
      <c r="K585" s="373"/>
      <c r="L585" s="374"/>
      <c r="M585" s="374"/>
      <c r="N585" s="374"/>
      <c r="O585" s="374"/>
      <c r="P585" s="372"/>
      <c r="Q585" s="372"/>
      <c r="R585" s="372"/>
      <c r="S585" s="110"/>
      <c r="T585" s="373"/>
      <c r="U585" s="373"/>
      <c r="V585" s="110"/>
      <c r="W585" s="371"/>
      <c r="X585" s="371"/>
      <c r="Y585" s="371"/>
      <c r="Z585" s="110"/>
      <c r="AA585" s="371"/>
      <c r="AB585" s="110"/>
    </row>
    <row r="586" spans="1:28" x14ac:dyDescent="0.25">
      <c r="A586" s="81"/>
      <c r="B586" s="271"/>
      <c r="C586" s="271"/>
      <c r="D586" s="271"/>
      <c r="E586" s="373"/>
      <c r="F586" s="371"/>
      <c r="G586" s="371"/>
      <c r="H586" s="110"/>
      <c r="I586" s="110"/>
      <c r="J586" s="110"/>
      <c r="K586" s="373"/>
      <c r="L586" s="374"/>
      <c r="M586" s="374"/>
      <c r="N586" s="374"/>
      <c r="O586" s="374"/>
      <c r="P586" s="372"/>
      <c r="Q586" s="372"/>
      <c r="R586" s="372"/>
      <c r="S586" s="110"/>
      <c r="T586" s="373"/>
      <c r="U586" s="373"/>
      <c r="V586" s="110"/>
      <c r="W586" s="371"/>
      <c r="X586" s="371"/>
      <c r="Y586" s="371"/>
      <c r="Z586" s="110"/>
      <c r="AA586" s="371"/>
      <c r="AB586" s="110"/>
    </row>
    <row r="587" spans="1:28" x14ac:dyDescent="0.25">
      <c r="A587" s="81"/>
      <c r="B587" s="271"/>
      <c r="C587" s="271"/>
      <c r="D587" s="271"/>
      <c r="E587" s="373"/>
      <c r="F587" s="371"/>
      <c r="G587" s="371"/>
      <c r="H587" s="110"/>
      <c r="I587" s="110"/>
      <c r="J587" s="110"/>
      <c r="K587" s="373"/>
      <c r="L587" s="374"/>
      <c r="M587" s="374"/>
      <c r="N587" s="374"/>
      <c r="O587" s="374"/>
      <c r="P587" s="372"/>
      <c r="Q587" s="372"/>
      <c r="R587" s="372"/>
      <c r="S587" s="110"/>
      <c r="T587" s="373"/>
      <c r="U587" s="373"/>
      <c r="V587" s="110"/>
      <c r="W587" s="371"/>
      <c r="X587" s="371"/>
      <c r="Y587" s="371"/>
      <c r="Z587" s="110"/>
      <c r="AA587" s="371"/>
      <c r="AB587" s="110"/>
    </row>
    <row r="588" spans="1:28" x14ac:dyDescent="0.25">
      <c r="A588" s="81"/>
      <c r="B588" s="271"/>
      <c r="C588" s="271"/>
      <c r="D588" s="271"/>
      <c r="E588" s="373"/>
      <c r="F588" s="371"/>
      <c r="G588" s="371"/>
      <c r="H588" s="110"/>
      <c r="I588" s="110"/>
      <c r="J588" s="110"/>
      <c r="K588" s="373"/>
      <c r="L588" s="374"/>
      <c r="M588" s="374"/>
      <c r="N588" s="374"/>
      <c r="O588" s="374"/>
      <c r="P588" s="372"/>
      <c r="Q588" s="372"/>
      <c r="R588" s="372"/>
      <c r="S588" s="110"/>
      <c r="T588" s="373"/>
      <c r="U588" s="373"/>
      <c r="V588" s="110"/>
      <c r="W588" s="371"/>
      <c r="X588" s="371"/>
      <c r="Y588" s="371"/>
      <c r="Z588" s="110"/>
      <c r="AA588" s="371"/>
      <c r="AB588" s="110"/>
    </row>
    <row r="589" spans="1:28" x14ac:dyDescent="0.25">
      <c r="A589" s="81"/>
      <c r="B589" s="271"/>
      <c r="C589" s="271"/>
      <c r="D589" s="271"/>
      <c r="E589" s="373"/>
      <c r="F589" s="371"/>
      <c r="G589" s="371"/>
      <c r="H589" s="110"/>
      <c r="I589" s="110"/>
      <c r="J589" s="110"/>
      <c r="K589" s="373"/>
      <c r="L589" s="374"/>
      <c r="M589" s="374"/>
      <c r="N589" s="374"/>
      <c r="O589" s="374"/>
      <c r="P589" s="372"/>
      <c r="Q589" s="372"/>
      <c r="R589" s="372"/>
      <c r="S589" s="110"/>
      <c r="T589" s="373"/>
      <c r="U589" s="373"/>
      <c r="V589" s="110"/>
      <c r="W589" s="371"/>
      <c r="X589" s="371"/>
      <c r="Y589" s="371"/>
      <c r="Z589" s="110"/>
      <c r="AA589" s="371"/>
      <c r="AB589" s="110"/>
    </row>
    <row r="590" spans="1:28" x14ac:dyDescent="0.25">
      <c r="A590" s="81"/>
      <c r="B590" s="271"/>
      <c r="C590" s="271"/>
      <c r="D590" s="271"/>
      <c r="E590" s="373"/>
      <c r="F590" s="371"/>
      <c r="G590" s="371"/>
      <c r="H590" s="110"/>
      <c r="I590" s="110"/>
      <c r="J590" s="110"/>
      <c r="K590" s="373"/>
      <c r="L590" s="374"/>
      <c r="M590" s="374"/>
      <c r="N590" s="374"/>
      <c r="O590" s="374"/>
      <c r="P590" s="372"/>
      <c r="Q590" s="372"/>
      <c r="R590" s="372"/>
      <c r="S590" s="110"/>
      <c r="T590" s="373"/>
      <c r="U590" s="373"/>
      <c r="V590" s="110"/>
      <c r="W590" s="371"/>
      <c r="X590" s="371"/>
      <c r="Y590" s="371"/>
      <c r="Z590" s="110"/>
      <c r="AA590" s="371"/>
      <c r="AB590" s="110"/>
    </row>
    <row r="591" spans="1:28" x14ac:dyDescent="0.25">
      <c r="A591" s="81"/>
      <c r="B591" s="271"/>
      <c r="C591" s="271"/>
      <c r="D591" s="271"/>
      <c r="E591" s="373"/>
      <c r="F591" s="371"/>
      <c r="G591" s="371"/>
      <c r="H591" s="110"/>
      <c r="I591" s="110"/>
      <c r="J591" s="110"/>
      <c r="K591" s="373"/>
      <c r="L591" s="374"/>
      <c r="M591" s="374"/>
      <c r="N591" s="374"/>
      <c r="O591" s="374"/>
      <c r="P591" s="372"/>
      <c r="Q591" s="372"/>
      <c r="R591" s="372"/>
      <c r="S591" s="110"/>
      <c r="T591" s="373"/>
      <c r="U591" s="373"/>
      <c r="V591" s="110"/>
      <c r="W591" s="371"/>
      <c r="X591" s="371"/>
      <c r="Y591" s="371"/>
      <c r="Z591" s="110"/>
      <c r="AA591" s="371"/>
      <c r="AB591" s="110"/>
    </row>
    <row r="592" spans="1:28" x14ac:dyDescent="0.25">
      <c r="A592" s="81"/>
      <c r="B592" s="271"/>
      <c r="C592" s="271"/>
      <c r="D592" s="271"/>
      <c r="E592" s="373"/>
      <c r="F592" s="371"/>
      <c r="G592" s="371"/>
      <c r="H592" s="110"/>
      <c r="I592" s="110"/>
      <c r="J592" s="110"/>
      <c r="K592" s="373"/>
      <c r="L592" s="374"/>
      <c r="M592" s="374"/>
      <c r="N592" s="374"/>
      <c r="O592" s="374"/>
      <c r="P592" s="372"/>
      <c r="Q592" s="372"/>
      <c r="R592" s="372"/>
      <c r="S592" s="110"/>
      <c r="T592" s="373"/>
      <c r="U592" s="373"/>
      <c r="V592" s="110"/>
      <c r="W592" s="371"/>
      <c r="X592" s="371"/>
      <c r="Y592" s="371"/>
      <c r="Z592" s="110"/>
      <c r="AA592" s="371"/>
      <c r="AB592" s="110"/>
    </row>
    <row r="593" spans="1:28" x14ac:dyDescent="0.25">
      <c r="A593" s="81"/>
      <c r="B593" s="271"/>
      <c r="C593" s="271"/>
      <c r="D593" s="271"/>
      <c r="E593" s="373"/>
      <c r="F593" s="371"/>
      <c r="G593" s="371"/>
      <c r="H593" s="110"/>
      <c r="I593" s="110"/>
      <c r="J593" s="110"/>
      <c r="K593" s="373"/>
      <c r="L593" s="374"/>
      <c r="M593" s="374"/>
      <c r="N593" s="374"/>
      <c r="O593" s="374"/>
      <c r="P593" s="372"/>
      <c r="Q593" s="372"/>
      <c r="R593" s="372"/>
      <c r="S593" s="110"/>
      <c r="T593" s="373"/>
      <c r="U593" s="373"/>
      <c r="V593" s="110"/>
      <c r="W593" s="371"/>
      <c r="X593" s="371"/>
      <c r="Y593" s="371"/>
      <c r="Z593" s="110"/>
      <c r="AA593" s="371"/>
      <c r="AB593" s="110"/>
    </row>
    <row r="594" spans="1:28" x14ac:dyDescent="0.25">
      <c r="A594" s="81"/>
      <c r="B594" s="271"/>
      <c r="C594" s="271"/>
      <c r="D594" s="271"/>
      <c r="E594" s="373"/>
      <c r="F594" s="371"/>
      <c r="G594" s="371"/>
      <c r="H594" s="110"/>
      <c r="I594" s="110"/>
      <c r="J594" s="110"/>
      <c r="K594" s="373"/>
      <c r="L594" s="374"/>
      <c r="M594" s="374"/>
      <c r="N594" s="374"/>
      <c r="O594" s="374"/>
      <c r="P594" s="372"/>
      <c r="Q594" s="372"/>
      <c r="R594" s="372"/>
      <c r="S594" s="110"/>
      <c r="T594" s="373"/>
      <c r="U594" s="373"/>
      <c r="V594" s="110"/>
      <c r="W594" s="371"/>
      <c r="X594" s="371"/>
      <c r="Y594" s="371"/>
      <c r="Z594" s="110"/>
      <c r="AA594" s="371"/>
      <c r="AB594" s="110"/>
    </row>
    <row r="595" spans="1:28" x14ac:dyDescent="0.25">
      <c r="A595" s="81"/>
      <c r="B595" s="271"/>
      <c r="C595" s="271"/>
      <c r="D595" s="271"/>
      <c r="E595" s="373"/>
      <c r="F595" s="371"/>
      <c r="G595" s="371"/>
      <c r="H595" s="110"/>
      <c r="I595" s="110"/>
      <c r="J595" s="110"/>
      <c r="K595" s="373"/>
      <c r="L595" s="374"/>
      <c r="M595" s="374"/>
      <c r="N595" s="374"/>
      <c r="O595" s="374"/>
      <c r="P595" s="372"/>
      <c r="Q595" s="372"/>
      <c r="R595" s="372"/>
      <c r="S595" s="110"/>
      <c r="T595" s="373"/>
      <c r="U595" s="373"/>
      <c r="V595" s="110"/>
      <c r="W595" s="371"/>
      <c r="X595" s="371"/>
      <c r="Y595" s="371"/>
      <c r="Z595" s="110"/>
      <c r="AA595" s="371"/>
      <c r="AB595" s="110"/>
    </row>
    <row r="596" spans="1:28" x14ac:dyDescent="0.25">
      <c r="A596" s="81"/>
      <c r="B596" s="271"/>
      <c r="C596" s="271"/>
      <c r="D596" s="271"/>
      <c r="E596" s="373"/>
      <c r="F596" s="371"/>
      <c r="G596" s="371"/>
      <c r="H596" s="110"/>
      <c r="I596" s="110"/>
      <c r="J596" s="110"/>
      <c r="K596" s="373"/>
      <c r="L596" s="374"/>
      <c r="M596" s="374"/>
      <c r="N596" s="374"/>
      <c r="O596" s="374"/>
      <c r="P596" s="372"/>
      <c r="Q596" s="372"/>
      <c r="R596" s="372"/>
      <c r="S596" s="110"/>
      <c r="T596" s="373"/>
      <c r="U596" s="373"/>
      <c r="V596" s="110"/>
      <c r="W596" s="371"/>
      <c r="X596" s="371"/>
      <c r="Y596" s="371"/>
      <c r="Z596" s="110"/>
      <c r="AA596" s="371"/>
      <c r="AB596" s="110"/>
    </row>
    <row r="597" spans="1:28" x14ac:dyDescent="0.25">
      <c r="A597" s="81"/>
      <c r="B597" s="271"/>
      <c r="C597" s="271"/>
      <c r="D597" s="271"/>
      <c r="E597" s="373"/>
      <c r="F597" s="371"/>
      <c r="G597" s="371"/>
      <c r="H597" s="110"/>
      <c r="I597" s="110"/>
      <c r="J597" s="110"/>
      <c r="K597" s="373"/>
      <c r="L597" s="374"/>
      <c r="M597" s="374"/>
      <c r="N597" s="374"/>
      <c r="O597" s="374"/>
      <c r="P597" s="372"/>
      <c r="Q597" s="372"/>
      <c r="R597" s="372"/>
      <c r="S597" s="110"/>
      <c r="T597" s="373"/>
      <c r="U597" s="373"/>
      <c r="V597" s="110"/>
      <c r="W597" s="371"/>
      <c r="X597" s="371"/>
      <c r="Y597" s="371"/>
      <c r="Z597" s="110"/>
      <c r="AA597" s="371"/>
      <c r="AB597" s="110"/>
    </row>
    <row r="598" spans="1:28" x14ac:dyDescent="0.25">
      <c r="A598" s="81"/>
      <c r="B598" s="271"/>
      <c r="C598" s="271"/>
      <c r="D598" s="271"/>
      <c r="E598" s="373"/>
      <c r="F598" s="371"/>
      <c r="G598" s="371"/>
      <c r="H598" s="110"/>
      <c r="I598" s="110"/>
      <c r="J598" s="110"/>
      <c r="K598" s="373"/>
      <c r="L598" s="374"/>
      <c r="M598" s="374"/>
      <c r="N598" s="374"/>
      <c r="O598" s="374"/>
      <c r="P598" s="372"/>
      <c r="Q598" s="372"/>
      <c r="R598" s="372"/>
      <c r="S598" s="110"/>
      <c r="T598" s="373"/>
      <c r="U598" s="373"/>
      <c r="V598" s="110"/>
      <c r="W598" s="371"/>
      <c r="X598" s="371"/>
      <c r="Y598" s="371"/>
      <c r="Z598" s="110"/>
      <c r="AA598" s="371"/>
      <c r="AB598" s="110"/>
    </row>
    <row r="599" spans="1:28" x14ac:dyDescent="0.25">
      <c r="A599" s="81"/>
      <c r="B599" s="271"/>
      <c r="C599" s="271"/>
      <c r="D599" s="271"/>
      <c r="E599" s="373"/>
      <c r="F599" s="371"/>
      <c r="G599" s="371"/>
      <c r="H599" s="110"/>
      <c r="I599" s="110"/>
      <c r="J599" s="110"/>
      <c r="K599" s="373"/>
      <c r="L599" s="374"/>
      <c r="M599" s="374"/>
      <c r="N599" s="374"/>
      <c r="O599" s="374"/>
      <c r="P599" s="372"/>
      <c r="Q599" s="372"/>
      <c r="R599" s="372"/>
      <c r="S599" s="110"/>
      <c r="T599" s="373"/>
      <c r="U599" s="373"/>
      <c r="V599" s="110"/>
      <c r="W599" s="371"/>
      <c r="X599" s="371"/>
      <c r="Y599" s="371"/>
      <c r="Z599" s="110"/>
      <c r="AA599" s="371"/>
      <c r="AB599" s="110"/>
    </row>
    <row r="600" spans="1:28" x14ac:dyDescent="0.25">
      <c r="A600" s="81"/>
      <c r="B600" s="271"/>
      <c r="C600" s="271"/>
      <c r="D600" s="271"/>
      <c r="E600" s="373"/>
      <c r="F600" s="371"/>
      <c r="G600" s="371"/>
      <c r="H600" s="110"/>
      <c r="I600" s="110"/>
      <c r="J600" s="110"/>
      <c r="K600" s="373"/>
      <c r="L600" s="374"/>
      <c r="M600" s="374"/>
      <c r="N600" s="374"/>
      <c r="O600" s="374"/>
      <c r="P600" s="372"/>
      <c r="Q600" s="372"/>
      <c r="R600" s="372"/>
      <c r="S600" s="110"/>
      <c r="T600" s="373"/>
      <c r="U600" s="373"/>
      <c r="V600" s="110"/>
      <c r="W600" s="371"/>
      <c r="X600" s="371"/>
      <c r="Y600" s="371"/>
      <c r="Z600" s="110"/>
      <c r="AA600" s="371"/>
      <c r="AB600" s="110"/>
    </row>
    <row r="601" spans="1:28" x14ac:dyDescent="0.25">
      <c r="A601" s="81"/>
      <c r="B601" s="271"/>
      <c r="C601" s="271"/>
      <c r="D601" s="271"/>
      <c r="E601" s="373"/>
      <c r="F601" s="371"/>
      <c r="G601" s="371"/>
      <c r="H601" s="110"/>
      <c r="I601" s="110"/>
      <c r="J601" s="110"/>
      <c r="K601" s="373"/>
      <c r="L601" s="374"/>
      <c r="M601" s="374"/>
      <c r="N601" s="374"/>
      <c r="O601" s="374"/>
      <c r="P601" s="372"/>
      <c r="Q601" s="372"/>
      <c r="R601" s="372"/>
      <c r="S601" s="110"/>
      <c r="T601" s="373"/>
      <c r="U601" s="373"/>
      <c r="V601" s="110"/>
      <c r="W601" s="371"/>
      <c r="X601" s="371"/>
      <c r="Y601" s="371"/>
      <c r="Z601" s="110"/>
      <c r="AA601" s="371"/>
      <c r="AB601" s="110"/>
    </row>
    <row r="602" spans="1:28" x14ac:dyDescent="0.25">
      <c r="A602" s="81"/>
      <c r="B602" s="271"/>
      <c r="C602" s="271"/>
      <c r="D602" s="271"/>
      <c r="E602" s="373"/>
      <c r="F602" s="371"/>
      <c r="G602" s="371"/>
      <c r="H602" s="110"/>
      <c r="I602" s="110"/>
      <c r="J602" s="110"/>
      <c r="K602" s="373"/>
      <c r="L602" s="374"/>
      <c r="M602" s="374"/>
      <c r="N602" s="374"/>
      <c r="O602" s="374"/>
      <c r="P602" s="372"/>
      <c r="Q602" s="372"/>
      <c r="R602" s="372"/>
      <c r="S602" s="110"/>
      <c r="T602" s="373"/>
      <c r="U602" s="373"/>
      <c r="V602" s="110"/>
      <c r="W602" s="371"/>
      <c r="X602" s="371"/>
      <c r="Y602" s="371"/>
      <c r="Z602" s="110"/>
      <c r="AA602" s="371"/>
      <c r="AB602" s="110"/>
    </row>
    <row r="603" spans="1:28" x14ac:dyDescent="0.25">
      <c r="A603" s="81"/>
      <c r="B603" s="271"/>
      <c r="C603" s="271"/>
      <c r="D603" s="271"/>
      <c r="E603" s="373"/>
      <c r="F603" s="371"/>
      <c r="G603" s="371"/>
      <c r="H603" s="110"/>
      <c r="I603" s="110"/>
      <c r="J603" s="110"/>
      <c r="K603" s="373"/>
      <c r="L603" s="374"/>
      <c r="M603" s="374"/>
      <c r="N603" s="374"/>
      <c r="O603" s="374"/>
      <c r="P603" s="372"/>
      <c r="Q603" s="372"/>
      <c r="R603" s="372"/>
      <c r="S603" s="110"/>
      <c r="T603" s="373"/>
      <c r="U603" s="373"/>
      <c r="V603" s="110"/>
      <c r="W603" s="371"/>
      <c r="X603" s="371"/>
      <c r="Y603" s="371"/>
      <c r="Z603" s="110"/>
      <c r="AA603" s="371"/>
      <c r="AB603" s="110"/>
    </row>
    <row r="604" spans="1:28" x14ac:dyDescent="0.25">
      <c r="A604" s="81"/>
      <c r="B604" s="271"/>
      <c r="C604" s="271"/>
      <c r="D604" s="271"/>
      <c r="E604" s="373"/>
      <c r="F604" s="371"/>
      <c r="G604" s="371"/>
      <c r="H604" s="110"/>
      <c r="I604" s="110"/>
      <c r="J604" s="110"/>
      <c r="K604" s="373"/>
      <c r="L604" s="374"/>
      <c r="M604" s="374"/>
      <c r="N604" s="374"/>
      <c r="O604" s="374"/>
      <c r="P604" s="372"/>
      <c r="Q604" s="372"/>
      <c r="R604" s="372"/>
      <c r="S604" s="110"/>
      <c r="T604" s="373"/>
      <c r="U604" s="373"/>
      <c r="V604" s="110"/>
      <c r="W604" s="371"/>
      <c r="X604" s="371"/>
      <c r="Y604" s="371"/>
      <c r="Z604" s="110"/>
      <c r="AA604" s="371"/>
      <c r="AB604" s="110"/>
    </row>
    <row r="605" spans="1:28" x14ac:dyDescent="0.25">
      <c r="A605" s="81"/>
      <c r="B605" s="271"/>
      <c r="C605" s="271"/>
      <c r="D605" s="271"/>
      <c r="E605" s="373"/>
      <c r="F605" s="371"/>
      <c r="G605" s="371"/>
      <c r="H605" s="110"/>
      <c r="I605" s="110"/>
      <c r="J605" s="110"/>
      <c r="K605" s="373"/>
      <c r="L605" s="374"/>
      <c r="M605" s="374"/>
      <c r="N605" s="374"/>
      <c r="O605" s="374"/>
      <c r="P605" s="372"/>
      <c r="Q605" s="372"/>
      <c r="R605" s="372"/>
      <c r="S605" s="110"/>
      <c r="T605" s="373"/>
      <c r="U605" s="373"/>
      <c r="V605" s="110"/>
      <c r="W605" s="371"/>
      <c r="X605" s="371"/>
      <c r="Y605" s="371"/>
      <c r="Z605" s="110"/>
      <c r="AA605" s="371"/>
      <c r="AB605" s="110"/>
    </row>
    <row r="606" spans="1:28" x14ac:dyDescent="0.25">
      <c r="A606" s="81"/>
      <c r="B606" s="271"/>
      <c r="C606" s="271"/>
      <c r="D606" s="271"/>
      <c r="E606" s="373"/>
      <c r="F606" s="371"/>
      <c r="G606" s="371"/>
      <c r="H606" s="110"/>
      <c r="I606" s="110"/>
      <c r="J606" s="110"/>
      <c r="K606" s="373"/>
      <c r="L606" s="374"/>
      <c r="M606" s="374"/>
      <c r="N606" s="374"/>
      <c r="O606" s="374"/>
      <c r="P606" s="372"/>
      <c r="Q606" s="372"/>
      <c r="R606" s="372"/>
      <c r="S606" s="110"/>
      <c r="T606" s="373"/>
      <c r="U606" s="373"/>
      <c r="V606" s="110"/>
      <c r="W606" s="371"/>
      <c r="X606" s="371"/>
      <c r="Y606" s="371"/>
      <c r="Z606" s="110"/>
      <c r="AA606" s="371"/>
      <c r="AB606" s="110"/>
    </row>
    <row r="607" spans="1:28" x14ac:dyDescent="0.25">
      <c r="A607" s="81"/>
      <c r="B607" s="271"/>
      <c r="C607" s="271"/>
      <c r="D607" s="271"/>
      <c r="E607" s="373"/>
      <c r="F607" s="371"/>
      <c r="G607" s="371"/>
      <c r="H607" s="110"/>
      <c r="I607" s="110"/>
      <c r="J607" s="110"/>
      <c r="K607" s="373"/>
      <c r="L607" s="374"/>
      <c r="M607" s="374"/>
      <c r="N607" s="374"/>
      <c r="O607" s="374"/>
      <c r="P607" s="372"/>
      <c r="Q607" s="372"/>
      <c r="R607" s="372"/>
      <c r="S607" s="110"/>
      <c r="T607" s="373"/>
      <c r="U607" s="373"/>
      <c r="V607" s="110"/>
      <c r="W607" s="371"/>
      <c r="X607" s="371"/>
      <c r="Y607" s="371"/>
      <c r="Z607" s="110"/>
      <c r="AA607" s="371"/>
      <c r="AB607" s="110"/>
    </row>
    <row r="608" spans="1:28" x14ac:dyDescent="0.25">
      <c r="A608" s="81"/>
      <c r="B608" s="271"/>
      <c r="C608" s="271"/>
      <c r="D608" s="271"/>
      <c r="E608" s="373"/>
      <c r="F608" s="371"/>
      <c r="G608" s="371"/>
      <c r="H608" s="110"/>
      <c r="I608" s="110"/>
      <c r="J608" s="110"/>
      <c r="K608" s="373"/>
      <c r="L608" s="374"/>
      <c r="M608" s="374"/>
      <c r="N608" s="374"/>
      <c r="O608" s="374"/>
      <c r="P608" s="372"/>
      <c r="Q608" s="372"/>
      <c r="R608" s="372"/>
      <c r="S608" s="110"/>
      <c r="T608" s="373"/>
      <c r="U608" s="373"/>
      <c r="V608" s="110"/>
      <c r="W608" s="371"/>
      <c r="X608" s="371"/>
      <c r="Y608" s="371"/>
      <c r="Z608" s="110"/>
      <c r="AA608" s="371"/>
      <c r="AB608" s="110"/>
    </row>
    <row r="609" spans="1:28" x14ac:dyDescent="0.25">
      <c r="A609" s="81"/>
      <c r="B609" s="271"/>
      <c r="C609" s="271"/>
      <c r="D609" s="271"/>
      <c r="E609" s="373"/>
      <c r="F609" s="371"/>
      <c r="G609" s="371"/>
      <c r="H609" s="110"/>
      <c r="I609" s="110"/>
      <c r="J609" s="110"/>
      <c r="K609" s="373"/>
      <c r="L609" s="374"/>
      <c r="M609" s="374"/>
      <c r="N609" s="374"/>
      <c r="O609" s="374"/>
      <c r="P609" s="372"/>
      <c r="Q609" s="372"/>
      <c r="R609" s="372"/>
      <c r="S609" s="110"/>
      <c r="T609" s="373"/>
      <c r="U609" s="373"/>
      <c r="V609" s="110"/>
      <c r="W609" s="371"/>
      <c r="X609" s="371"/>
      <c r="Y609" s="371"/>
      <c r="Z609" s="110"/>
      <c r="AA609" s="371"/>
      <c r="AB609" s="110"/>
    </row>
    <row r="610" spans="1:28" x14ac:dyDescent="0.25">
      <c r="A610" s="81"/>
      <c r="B610" s="271"/>
      <c r="C610" s="271"/>
      <c r="D610" s="271"/>
      <c r="E610" s="373"/>
      <c r="F610" s="371"/>
      <c r="G610" s="371"/>
      <c r="H610" s="110"/>
      <c r="I610" s="110"/>
      <c r="J610" s="110"/>
      <c r="K610" s="373"/>
      <c r="L610" s="374"/>
      <c r="M610" s="374"/>
      <c r="N610" s="374"/>
      <c r="O610" s="374"/>
      <c r="P610" s="372"/>
      <c r="Q610" s="372"/>
      <c r="R610" s="372"/>
      <c r="S610" s="110"/>
      <c r="T610" s="373"/>
      <c r="U610" s="373"/>
      <c r="V610" s="110"/>
      <c r="W610" s="371"/>
      <c r="X610" s="371"/>
      <c r="Y610" s="371"/>
      <c r="Z610" s="110"/>
      <c r="AA610" s="371"/>
      <c r="AB610" s="110"/>
    </row>
    <row r="611" spans="1:28" x14ac:dyDescent="0.25">
      <c r="A611" s="81"/>
      <c r="B611" s="271"/>
      <c r="C611" s="271"/>
      <c r="D611" s="271"/>
      <c r="E611" s="373"/>
      <c r="F611" s="371"/>
      <c r="G611" s="371"/>
      <c r="H611" s="110"/>
      <c r="I611" s="110"/>
      <c r="J611" s="110"/>
      <c r="K611" s="373"/>
      <c r="L611" s="374"/>
      <c r="M611" s="374"/>
      <c r="N611" s="374"/>
      <c r="O611" s="374"/>
      <c r="P611" s="372"/>
      <c r="Q611" s="372"/>
      <c r="R611" s="372"/>
      <c r="S611" s="110"/>
      <c r="T611" s="373"/>
      <c r="U611" s="373"/>
      <c r="V611" s="110"/>
      <c r="W611" s="371"/>
      <c r="X611" s="371"/>
      <c r="Y611" s="371"/>
      <c r="Z611" s="110"/>
      <c r="AA611" s="371"/>
      <c r="AB611" s="110"/>
    </row>
    <row r="612" spans="1:28" x14ac:dyDescent="0.25">
      <c r="A612" s="81"/>
      <c r="B612" s="271"/>
      <c r="C612" s="271"/>
      <c r="D612" s="271"/>
      <c r="E612" s="373"/>
      <c r="F612" s="371"/>
      <c r="G612" s="371"/>
      <c r="H612" s="110"/>
      <c r="I612" s="110"/>
      <c r="J612" s="110"/>
      <c r="K612" s="373"/>
      <c r="L612" s="374"/>
      <c r="M612" s="374"/>
      <c r="N612" s="374"/>
      <c r="O612" s="374"/>
      <c r="P612" s="372"/>
      <c r="Q612" s="372"/>
      <c r="R612" s="372"/>
      <c r="S612" s="110"/>
      <c r="T612" s="373"/>
      <c r="U612" s="373"/>
      <c r="V612" s="110"/>
      <c r="W612" s="371"/>
      <c r="X612" s="371"/>
      <c r="Y612" s="371"/>
      <c r="Z612" s="110"/>
      <c r="AA612" s="371"/>
      <c r="AB612" s="110"/>
    </row>
    <row r="613" spans="1:28" x14ac:dyDescent="0.25">
      <c r="A613" s="81"/>
      <c r="B613" s="271"/>
      <c r="C613" s="271"/>
      <c r="D613" s="271"/>
      <c r="E613" s="373"/>
      <c r="F613" s="371"/>
      <c r="G613" s="371"/>
      <c r="H613" s="110"/>
      <c r="I613" s="110"/>
      <c r="J613" s="110"/>
      <c r="K613" s="373"/>
      <c r="L613" s="374"/>
      <c r="M613" s="374"/>
      <c r="N613" s="374"/>
      <c r="O613" s="374"/>
      <c r="P613" s="372"/>
      <c r="Q613" s="372"/>
      <c r="R613" s="372"/>
      <c r="S613" s="110"/>
      <c r="T613" s="373"/>
      <c r="U613" s="373"/>
      <c r="V613" s="110"/>
      <c r="W613" s="371"/>
      <c r="X613" s="371"/>
      <c r="Y613" s="371"/>
      <c r="Z613" s="110"/>
      <c r="AA613" s="371"/>
      <c r="AB613" s="110"/>
    </row>
    <row r="614" spans="1:28" x14ac:dyDescent="0.25">
      <c r="A614" s="81"/>
      <c r="B614" s="271"/>
      <c r="C614" s="271"/>
      <c r="D614" s="271"/>
      <c r="E614" s="373"/>
      <c r="F614" s="371"/>
      <c r="G614" s="371"/>
      <c r="H614" s="110"/>
      <c r="I614" s="110"/>
      <c r="J614" s="110"/>
      <c r="K614" s="373"/>
      <c r="L614" s="374"/>
      <c r="M614" s="374"/>
      <c r="N614" s="374"/>
      <c r="O614" s="374"/>
      <c r="P614" s="372"/>
      <c r="Q614" s="372"/>
      <c r="R614" s="372"/>
      <c r="S614" s="110"/>
      <c r="T614" s="373"/>
      <c r="U614" s="373"/>
      <c r="V614" s="110"/>
      <c r="W614" s="371"/>
      <c r="X614" s="371"/>
      <c r="Y614" s="371"/>
      <c r="Z614" s="110"/>
      <c r="AA614" s="371"/>
      <c r="AB614" s="110"/>
    </row>
    <row r="615" spans="1:28" x14ac:dyDescent="0.25">
      <c r="A615" s="81"/>
      <c r="B615" s="271"/>
      <c r="C615" s="271"/>
      <c r="D615" s="271"/>
      <c r="E615" s="373"/>
      <c r="F615" s="371"/>
      <c r="G615" s="371"/>
      <c r="H615" s="110"/>
      <c r="I615" s="110"/>
      <c r="J615" s="110"/>
      <c r="K615" s="373"/>
      <c r="L615" s="374"/>
      <c r="M615" s="374"/>
      <c r="N615" s="374"/>
      <c r="O615" s="374"/>
      <c r="P615" s="372"/>
      <c r="Q615" s="372"/>
      <c r="R615" s="372"/>
      <c r="S615" s="110"/>
      <c r="T615" s="373"/>
      <c r="U615" s="373"/>
      <c r="V615" s="110"/>
      <c r="W615" s="371"/>
      <c r="X615" s="371"/>
      <c r="Y615" s="371"/>
      <c r="Z615" s="110"/>
      <c r="AA615" s="371"/>
      <c r="AB615" s="110"/>
    </row>
    <row r="616" spans="1:28" x14ac:dyDescent="0.25">
      <c r="A616" s="81"/>
      <c r="B616" s="271"/>
      <c r="C616" s="271"/>
      <c r="D616" s="271"/>
      <c r="E616" s="373"/>
      <c r="F616" s="371"/>
      <c r="G616" s="371"/>
      <c r="H616" s="110"/>
      <c r="I616" s="110"/>
      <c r="J616" s="110"/>
      <c r="K616" s="373"/>
      <c r="L616" s="374"/>
      <c r="M616" s="374"/>
      <c r="N616" s="374"/>
      <c r="O616" s="374"/>
      <c r="P616" s="372"/>
      <c r="Q616" s="372"/>
      <c r="R616" s="372"/>
      <c r="S616" s="110"/>
      <c r="T616" s="373"/>
      <c r="U616" s="373"/>
      <c r="V616" s="110"/>
      <c r="W616" s="371"/>
      <c r="X616" s="371"/>
      <c r="Y616" s="371"/>
      <c r="Z616" s="110"/>
      <c r="AA616" s="371"/>
      <c r="AB616" s="110"/>
    </row>
    <row r="617" spans="1:28" x14ac:dyDescent="0.25">
      <c r="A617" s="81"/>
      <c r="B617" s="271"/>
      <c r="C617" s="271"/>
      <c r="D617" s="271"/>
      <c r="E617" s="373"/>
      <c r="F617" s="371"/>
      <c r="G617" s="371"/>
      <c r="H617" s="110"/>
      <c r="I617" s="110"/>
      <c r="J617" s="110"/>
      <c r="K617" s="373"/>
      <c r="L617" s="374"/>
      <c r="M617" s="374"/>
      <c r="N617" s="374"/>
      <c r="O617" s="374"/>
      <c r="P617" s="372"/>
      <c r="Q617" s="372"/>
      <c r="R617" s="372"/>
      <c r="S617" s="110"/>
      <c r="T617" s="373"/>
      <c r="U617" s="373"/>
      <c r="V617" s="110"/>
      <c r="W617" s="371"/>
      <c r="X617" s="371"/>
      <c r="Y617" s="371"/>
      <c r="Z617" s="110"/>
      <c r="AA617" s="371"/>
      <c r="AB617" s="110"/>
    </row>
    <row r="618" spans="1:28" x14ac:dyDescent="0.25">
      <c r="A618" s="81"/>
      <c r="B618" s="271"/>
      <c r="C618" s="271"/>
      <c r="D618" s="271"/>
      <c r="E618" s="373"/>
      <c r="F618" s="371"/>
      <c r="G618" s="371"/>
      <c r="H618" s="110"/>
      <c r="I618" s="110"/>
      <c r="J618" s="110"/>
      <c r="K618" s="373"/>
      <c r="L618" s="374"/>
      <c r="M618" s="374"/>
      <c r="N618" s="374"/>
      <c r="O618" s="374"/>
      <c r="P618" s="372"/>
      <c r="Q618" s="372"/>
      <c r="R618" s="372"/>
      <c r="S618" s="110"/>
      <c r="T618" s="373"/>
      <c r="U618" s="373"/>
      <c r="V618" s="110"/>
      <c r="W618" s="371"/>
      <c r="X618" s="371"/>
      <c r="Y618" s="371"/>
      <c r="Z618" s="110"/>
      <c r="AA618" s="371"/>
      <c r="AB618" s="110"/>
    </row>
    <row r="619" spans="1:28" x14ac:dyDescent="0.25">
      <c r="A619" s="81"/>
      <c r="B619" s="271"/>
      <c r="C619" s="271"/>
      <c r="D619" s="271"/>
      <c r="E619" s="373"/>
      <c r="F619" s="371"/>
      <c r="G619" s="371"/>
      <c r="H619" s="110"/>
      <c r="I619" s="110"/>
      <c r="J619" s="110"/>
      <c r="K619" s="373"/>
      <c r="L619" s="374"/>
      <c r="M619" s="374"/>
      <c r="N619" s="374"/>
      <c r="O619" s="374"/>
      <c r="P619" s="372"/>
      <c r="Q619" s="372"/>
      <c r="R619" s="372"/>
      <c r="S619" s="110"/>
      <c r="T619" s="373"/>
      <c r="U619" s="373"/>
      <c r="V619" s="110"/>
      <c r="W619" s="371"/>
      <c r="X619" s="371"/>
      <c r="Y619" s="371"/>
      <c r="Z619" s="110"/>
      <c r="AA619" s="371"/>
      <c r="AB619" s="110"/>
    </row>
    <row r="620" spans="1:28" x14ac:dyDescent="0.25">
      <c r="A620" s="81"/>
      <c r="B620" s="271"/>
      <c r="C620" s="271"/>
      <c r="D620" s="271"/>
      <c r="E620" s="373"/>
      <c r="F620" s="371"/>
      <c r="G620" s="371"/>
      <c r="H620" s="110"/>
      <c r="I620" s="110"/>
      <c r="J620" s="110"/>
      <c r="K620" s="373"/>
      <c r="L620" s="374"/>
      <c r="M620" s="374"/>
      <c r="N620" s="374"/>
      <c r="O620" s="374"/>
      <c r="P620" s="372"/>
      <c r="Q620" s="372"/>
      <c r="R620" s="372"/>
      <c r="S620" s="110"/>
      <c r="T620" s="373"/>
      <c r="U620" s="373"/>
      <c r="V620" s="110"/>
      <c r="W620" s="371"/>
      <c r="X620" s="371"/>
      <c r="Y620" s="371"/>
      <c r="Z620" s="110"/>
      <c r="AA620" s="371"/>
      <c r="AB620" s="110"/>
    </row>
    <row r="621" spans="1:28" x14ac:dyDescent="0.25">
      <c r="A621" s="81"/>
      <c r="B621" s="271"/>
      <c r="C621" s="271"/>
      <c r="D621" s="271"/>
      <c r="E621" s="373"/>
      <c r="F621" s="371"/>
      <c r="G621" s="371"/>
      <c r="H621" s="110"/>
      <c r="I621" s="110"/>
      <c r="J621" s="110"/>
      <c r="K621" s="373"/>
      <c r="L621" s="374"/>
      <c r="M621" s="374"/>
      <c r="N621" s="374"/>
      <c r="O621" s="374"/>
      <c r="P621" s="372"/>
      <c r="Q621" s="372"/>
      <c r="R621" s="372"/>
      <c r="S621" s="110"/>
      <c r="T621" s="373"/>
      <c r="U621" s="373"/>
      <c r="V621" s="110"/>
      <c r="W621" s="371"/>
      <c r="X621" s="371"/>
      <c r="Y621" s="371"/>
      <c r="Z621" s="110"/>
      <c r="AA621" s="371"/>
      <c r="AB621" s="110"/>
    </row>
    <row r="622" spans="1:28" x14ac:dyDescent="0.25">
      <c r="A622" s="81"/>
      <c r="B622" s="271"/>
      <c r="C622" s="271"/>
      <c r="D622" s="271"/>
      <c r="E622" s="373"/>
      <c r="F622" s="371"/>
      <c r="G622" s="371"/>
      <c r="H622" s="110"/>
      <c r="I622" s="110"/>
      <c r="J622" s="110"/>
      <c r="K622" s="373"/>
      <c r="L622" s="374"/>
      <c r="M622" s="374"/>
      <c r="N622" s="374"/>
      <c r="O622" s="374"/>
      <c r="P622" s="372"/>
      <c r="Q622" s="372"/>
      <c r="R622" s="372"/>
      <c r="S622" s="110"/>
      <c r="T622" s="373"/>
      <c r="U622" s="373"/>
      <c r="V622" s="110"/>
      <c r="W622" s="371"/>
      <c r="X622" s="371"/>
      <c r="Y622" s="371"/>
      <c r="Z622" s="110"/>
      <c r="AA622" s="371"/>
      <c r="AB622" s="110"/>
    </row>
    <row r="623" spans="1:28" x14ac:dyDescent="0.25">
      <c r="A623" s="81"/>
      <c r="B623" s="271"/>
      <c r="C623" s="271"/>
      <c r="D623" s="271"/>
      <c r="E623" s="373"/>
      <c r="F623" s="371"/>
      <c r="G623" s="371"/>
      <c r="H623" s="110"/>
      <c r="I623" s="110"/>
      <c r="J623" s="110"/>
      <c r="K623" s="373"/>
      <c r="L623" s="374"/>
      <c r="M623" s="374"/>
      <c r="N623" s="374"/>
      <c r="O623" s="374"/>
      <c r="P623" s="372"/>
      <c r="Q623" s="372"/>
      <c r="R623" s="372"/>
      <c r="S623" s="110"/>
      <c r="T623" s="373"/>
      <c r="U623" s="373"/>
      <c r="V623" s="110"/>
      <c r="W623" s="371"/>
      <c r="X623" s="371"/>
      <c r="Y623" s="371"/>
      <c r="Z623" s="110"/>
      <c r="AA623" s="371"/>
      <c r="AB623" s="110"/>
    </row>
    <row r="624" spans="1:28" x14ac:dyDescent="0.25">
      <c r="A624" s="81"/>
      <c r="B624" s="271"/>
      <c r="C624" s="271"/>
      <c r="D624" s="271"/>
      <c r="E624" s="373"/>
      <c r="F624" s="371"/>
      <c r="G624" s="371"/>
      <c r="H624" s="110"/>
      <c r="I624" s="110"/>
      <c r="J624" s="110"/>
      <c r="K624" s="373"/>
      <c r="L624" s="374"/>
      <c r="M624" s="374"/>
      <c r="N624" s="374"/>
      <c r="O624" s="374"/>
      <c r="P624" s="372"/>
      <c r="Q624" s="372"/>
      <c r="R624" s="372"/>
      <c r="S624" s="110"/>
      <c r="T624" s="373"/>
      <c r="U624" s="373"/>
      <c r="V624" s="110"/>
      <c r="W624" s="371"/>
      <c r="X624" s="371"/>
      <c r="Y624" s="371"/>
      <c r="Z624" s="110"/>
      <c r="AA624" s="371"/>
      <c r="AB624" s="110"/>
    </row>
    <row r="625" spans="1:28" x14ac:dyDescent="0.25">
      <c r="A625" s="81"/>
      <c r="B625" s="271"/>
      <c r="C625" s="271"/>
      <c r="D625" s="271"/>
      <c r="E625" s="373"/>
      <c r="F625" s="371"/>
      <c r="G625" s="371"/>
      <c r="H625" s="110"/>
      <c r="I625" s="110"/>
      <c r="J625" s="110"/>
      <c r="K625" s="373"/>
      <c r="L625" s="374"/>
      <c r="M625" s="374"/>
      <c r="N625" s="374"/>
      <c r="O625" s="374"/>
      <c r="P625" s="372"/>
      <c r="Q625" s="372"/>
      <c r="R625" s="372"/>
      <c r="S625" s="110"/>
      <c r="T625" s="373"/>
      <c r="U625" s="373"/>
      <c r="V625" s="110"/>
      <c r="W625" s="371"/>
      <c r="X625" s="371"/>
      <c r="Y625" s="371"/>
      <c r="Z625" s="110"/>
      <c r="AA625" s="371"/>
      <c r="AB625" s="110"/>
    </row>
    <row r="626" spans="1:28" x14ac:dyDescent="0.25">
      <c r="A626" s="81"/>
      <c r="B626" s="271"/>
      <c r="C626" s="271"/>
      <c r="D626" s="271"/>
      <c r="E626" s="373"/>
      <c r="F626" s="371"/>
      <c r="G626" s="371"/>
      <c r="H626" s="110"/>
      <c r="I626" s="110"/>
      <c r="J626" s="110"/>
      <c r="K626" s="373"/>
      <c r="L626" s="374"/>
      <c r="M626" s="374"/>
      <c r="N626" s="374"/>
      <c r="O626" s="374"/>
      <c r="P626" s="372"/>
      <c r="Q626" s="372"/>
      <c r="R626" s="372"/>
      <c r="S626" s="110"/>
      <c r="T626" s="373"/>
      <c r="U626" s="373"/>
      <c r="V626" s="110"/>
      <c r="W626" s="371"/>
      <c r="X626" s="371"/>
      <c r="Y626" s="371"/>
      <c r="Z626" s="110"/>
      <c r="AA626" s="371"/>
      <c r="AB626" s="110"/>
    </row>
    <row r="627" spans="1:28" x14ac:dyDescent="0.25">
      <c r="A627" s="81"/>
      <c r="B627" s="271"/>
      <c r="C627" s="271"/>
      <c r="D627" s="271"/>
      <c r="E627" s="373"/>
      <c r="F627" s="371"/>
      <c r="G627" s="371"/>
      <c r="H627" s="110"/>
      <c r="I627" s="110"/>
      <c r="J627" s="110"/>
      <c r="K627" s="373"/>
      <c r="L627" s="374"/>
      <c r="M627" s="374"/>
      <c r="N627" s="374"/>
      <c r="O627" s="374"/>
      <c r="P627" s="372"/>
      <c r="Q627" s="372"/>
      <c r="R627" s="372"/>
      <c r="S627" s="110"/>
      <c r="T627" s="373"/>
      <c r="U627" s="373"/>
      <c r="V627" s="110"/>
      <c r="W627" s="371"/>
      <c r="X627" s="371"/>
      <c r="Y627" s="371"/>
      <c r="Z627" s="110"/>
      <c r="AA627" s="371"/>
      <c r="AB627" s="110"/>
    </row>
    <row r="628" spans="1:28" x14ac:dyDescent="0.25">
      <c r="A628" s="81"/>
      <c r="B628" s="271"/>
      <c r="C628" s="271"/>
      <c r="D628" s="271"/>
      <c r="E628" s="373"/>
      <c r="F628" s="371"/>
      <c r="G628" s="371"/>
      <c r="H628" s="110"/>
      <c r="I628" s="110"/>
      <c r="J628" s="110"/>
      <c r="K628" s="373"/>
      <c r="L628" s="374"/>
      <c r="M628" s="374"/>
      <c r="N628" s="374"/>
      <c r="O628" s="374"/>
      <c r="P628" s="372"/>
      <c r="Q628" s="372"/>
      <c r="R628" s="372"/>
      <c r="S628" s="110"/>
      <c r="T628" s="373"/>
      <c r="U628" s="373"/>
      <c r="V628" s="110"/>
      <c r="W628" s="371"/>
      <c r="X628" s="371"/>
      <c r="Y628" s="371"/>
      <c r="Z628" s="110"/>
      <c r="AA628" s="371"/>
      <c r="AB628" s="110"/>
    </row>
    <row r="629" spans="1:28" x14ac:dyDescent="0.25">
      <c r="A629" s="81"/>
      <c r="B629" s="271"/>
      <c r="C629" s="271"/>
      <c r="D629" s="271"/>
      <c r="E629" s="373"/>
      <c r="F629" s="371"/>
      <c r="G629" s="371"/>
      <c r="H629" s="110"/>
      <c r="I629" s="110"/>
      <c r="J629" s="110"/>
      <c r="K629" s="373"/>
      <c r="L629" s="374"/>
      <c r="M629" s="374"/>
      <c r="N629" s="374"/>
      <c r="O629" s="374"/>
      <c r="P629" s="372"/>
      <c r="Q629" s="372"/>
      <c r="R629" s="372"/>
      <c r="S629" s="110"/>
      <c r="T629" s="373"/>
      <c r="U629" s="373"/>
      <c r="V629" s="110"/>
      <c r="W629" s="371"/>
      <c r="X629" s="371"/>
      <c r="Y629" s="371"/>
      <c r="Z629" s="110"/>
      <c r="AA629" s="371"/>
      <c r="AB629" s="110"/>
    </row>
    <row r="630" spans="1:28" x14ac:dyDescent="0.25">
      <c r="A630" s="81"/>
      <c r="B630" s="271"/>
      <c r="C630" s="271"/>
      <c r="D630" s="271"/>
      <c r="E630" s="373"/>
      <c r="F630" s="371"/>
      <c r="G630" s="371"/>
      <c r="H630" s="110"/>
      <c r="I630" s="110"/>
      <c r="J630" s="110"/>
      <c r="K630" s="373"/>
      <c r="L630" s="374"/>
      <c r="M630" s="374"/>
      <c r="N630" s="374"/>
      <c r="O630" s="374"/>
      <c r="P630" s="372"/>
      <c r="Q630" s="372"/>
      <c r="R630" s="372"/>
      <c r="S630" s="110"/>
      <c r="T630" s="373"/>
      <c r="U630" s="373"/>
      <c r="V630" s="110"/>
      <c r="W630" s="371"/>
      <c r="X630" s="371"/>
      <c r="Y630" s="371"/>
      <c r="Z630" s="110"/>
      <c r="AA630" s="371"/>
      <c r="AB630" s="110"/>
    </row>
    <row r="631" spans="1:28" x14ac:dyDescent="0.25">
      <c r="A631" s="81"/>
      <c r="B631" s="271"/>
      <c r="C631" s="271"/>
      <c r="D631" s="271"/>
      <c r="E631" s="373"/>
      <c r="F631" s="371"/>
      <c r="G631" s="371"/>
      <c r="H631" s="110"/>
      <c r="I631" s="110"/>
      <c r="J631" s="110"/>
      <c r="K631" s="373"/>
      <c r="L631" s="374"/>
      <c r="M631" s="374"/>
      <c r="N631" s="374"/>
      <c r="O631" s="374"/>
      <c r="P631" s="372"/>
      <c r="Q631" s="372"/>
      <c r="R631" s="372"/>
      <c r="S631" s="110"/>
      <c r="T631" s="373"/>
      <c r="U631" s="373"/>
      <c r="V631" s="110"/>
      <c r="W631" s="371"/>
      <c r="X631" s="371"/>
      <c r="Y631" s="371"/>
      <c r="Z631" s="110"/>
      <c r="AA631" s="371"/>
      <c r="AB631" s="110"/>
    </row>
    <row r="632" spans="1:28" x14ac:dyDescent="0.25">
      <c r="A632" s="81"/>
      <c r="B632" s="271"/>
      <c r="C632" s="271"/>
      <c r="D632" s="271"/>
      <c r="E632" s="373"/>
      <c r="F632" s="371"/>
      <c r="G632" s="371"/>
      <c r="H632" s="110"/>
      <c r="I632" s="110"/>
      <c r="J632" s="110"/>
      <c r="K632" s="373"/>
      <c r="L632" s="374"/>
      <c r="M632" s="374"/>
      <c r="N632" s="374"/>
      <c r="O632" s="374"/>
      <c r="P632" s="372"/>
      <c r="Q632" s="372"/>
      <c r="R632" s="372"/>
      <c r="S632" s="110"/>
      <c r="T632" s="373"/>
      <c r="U632" s="373"/>
      <c r="V632" s="110"/>
      <c r="W632" s="371"/>
      <c r="X632" s="371"/>
      <c r="Y632" s="371"/>
      <c r="Z632" s="110"/>
      <c r="AA632" s="371"/>
      <c r="AB632" s="110"/>
    </row>
    <row r="633" spans="1:28" x14ac:dyDescent="0.25">
      <c r="A633" s="81"/>
      <c r="B633" s="271"/>
      <c r="C633" s="271"/>
      <c r="D633" s="271"/>
      <c r="E633" s="373"/>
      <c r="F633" s="371"/>
      <c r="G633" s="371"/>
      <c r="H633" s="110"/>
      <c r="I633" s="110"/>
      <c r="J633" s="110"/>
      <c r="K633" s="373"/>
      <c r="L633" s="374"/>
      <c r="M633" s="374"/>
      <c r="N633" s="374"/>
      <c r="O633" s="374"/>
      <c r="P633" s="372"/>
      <c r="Q633" s="372"/>
      <c r="R633" s="372"/>
      <c r="S633" s="110"/>
      <c r="T633" s="373"/>
      <c r="U633" s="373"/>
      <c r="V633" s="110"/>
      <c r="W633" s="371"/>
      <c r="X633" s="371"/>
      <c r="Y633" s="371"/>
      <c r="Z633" s="110"/>
      <c r="AA633" s="371"/>
      <c r="AB633" s="110"/>
    </row>
    <row r="634" spans="1:28" x14ac:dyDescent="0.25">
      <c r="A634" s="81"/>
      <c r="B634" s="271"/>
      <c r="C634" s="271"/>
      <c r="D634" s="271"/>
      <c r="E634" s="373"/>
      <c r="F634" s="371"/>
      <c r="G634" s="371"/>
      <c r="H634" s="110"/>
      <c r="I634" s="110"/>
      <c r="J634" s="110"/>
      <c r="K634" s="373"/>
      <c r="L634" s="374"/>
      <c r="M634" s="374"/>
      <c r="N634" s="374"/>
      <c r="O634" s="374"/>
      <c r="P634" s="372"/>
      <c r="Q634" s="372"/>
      <c r="R634" s="372"/>
      <c r="S634" s="110"/>
      <c r="T634" s="373"/>
      <c r="U634" s="373"/>
      <c r="V634" s="110"/>
      <c r="W634" s="371"/>
      <c r="X634" s="371"/>
      <c r="Y634" s="371"/>
      <c r="Z634" s="110"/>
      <c r="AA634" s="371"/>
      <c r="AB634" s="110"/>
    </row>
    <row r="635" spans="1:28" x14ac:dyDescent="0.25">
      <c r="A635" s="81"/>
      <c r="B635" s="271"/>
      <c r="C635" s="271"/>
      <c r="D635" s="271"/>
      <c r="E635" s="373"/>
      <c r="F635" s="371"/>
      <c r="G635" s="371"/>
      <c r="H635" s="110"/>
      <c r="I635" s="110"/>
      <c r="J635" s="110"/>
      <c r="K635" s="373"/>
      <c r="L635" s="374"/>
      <c r="M635" s="374"/>
      <c r="N635" s="374"/>
      <c r="O635" s="374"/>
      <c r="P635" s="372"/>
      <c r="Q635" s="372"/>
      <c r="R635" s="372"/>
      <c r="S635" s="110"/>
      <c r="T635" s="373"/>
      <c r="U635" s="373"/>
      <c r="V635" s="110"/>
      <c r="W635" s="371"/>
      <c r="X635" s="371"/>
      <c r="Y635" s="371"/>
      <c r="Z635" s="110"/>
      <c r="AA635" s="371"/>
      <c r="AB635" s="110"/>
    </row>
    <row r="636" spans="1:28" x14ac:dyDescent="0.25">
      <c r="A636" s="81"/>
      <c r="B636" s="271"/>
      <c r="C636" s="271"/>
      <c r="D636" s="271"/>
      <c r="E636" s="373"/>
      <c r="F636" s="371"/>
      <c r="G636" s="371"/>
      <c r="H636" s="110"/>
      <c r="I636" s="110"/>
      <c r="J636" s="110"/>
      <c r="K636" s="373"/>
      <c r="L636" s="374"/>
      <c r="M636" s="374"/>
      <c r="N636" s="374"/>
      <c r="O636" s="374"/>
      <c r="P636" s="372"/>
      <c r="Q636" s="372"/>
      <c r="R636" s="372"/>
      <c r="S636" s="110"/>
      <c r="T636" s="373"/>
      <c r="U636" s="373"/>
      <c r="V636" s="110"/>
      <c r="W636" s="371"/>
      <c r="X636" s="371"/>
      <c r="Y636" s="371"/>
      <c r="Z636" s="110"/>
      <c r="AA636" s="371"/>
      <c r="AB636" s="110"/>
    </row>
    <row r="637" spans="1:28" x14ac:dyDescent="0.25">
      <c r="A637" s="81"/>
      <c r="B637" s="271"/>
      <c r="C637" s="271"/>
      <c r="D637" s="271"/>
      <c r="E637" s="373"/>
      <c r="F637" s="371"/>
      <c r="G637" s="371"/>
      <c r="H637" s="110"/>
      <c r="I637" s="110"/>
      <c r="J637" s="110"/>
      <c r="K637" s="373"/>
      <c r="L637" s="374"/>
      <c r="M637" s="374"/>
      <c r="N637" s="374"/>
      <c r="O637" s="374"/>
      <c r="P637" s="372"/>
      <c r="Q637" s="372"/>
      <c r="R637" s="372"/>
      <c r="S637" s="110"/>
      <c r="T637" s="373"/>
      <c r="U637" s="373"/>
      <c r="V637" s="110"/>
      <c r="W637" s="371"/>
      <c r="X637" s="371"/>
      <c r="Y637" s="371"/>
      <c r="Z637" s="110"/>
      <c r="AA637" s="371"/>
      <c r="AB637" s="110"/>
    </row>
    <row r="638" spans="1:28" x14ac:dyDescent="0.25">
      <c r="A638" s="81"/>
      <c r="B638" s="271"/>
      <c r="C638" s="271"/>
      <c r="D638" s="271"/>
      <c r="E638" s="373"/>
      <c r="F638" s="371"/>
      <c r="G638" s="371"/>
      <c r="H638" s="110"/>
      <c r="I638" s="110"/>
      <c r="J638" s="110"/>
      <c r="K638" s="373"/>
      <c r="L638" s="374"/>
      <c r="M638" s="374"/>
      <c r="N638" s="374"/>
      <c r="O638" s="374"/>
      <c r="P638" s="372"/>
      <c r="Q638" s="372"/>
      <c r="R638" s="372"/>
      <c r="S638" s="110"/>
      <c r="T638" s="373"/>
      <c r="U638" s="373"/>
      <c r="V638" s="110"/>
      <c r="W638" s="371"/>
      <c r="X638" s="371"/>
      <c r="Y638" s="371"/>
      <c r="Z638" s="110"/>
      <c r="AA638" s="371"/>
      <c r="AB638" s="110"/>
    </row>
    <row r="639" spans="1:28" x14ac:dyDescent="0.25">
      <c r="A639" s="81"/>
      <c r="B639" s="271"/>
      <c r="C639" s="271"/>
      <c r="D639" s="271"/>
      <c r="E639" s="373"/>
      <c r="F639" s="371"/>
      <c r="G639" s="371"/>
      <c r="H639" s="110"/>
      <c r="I639" s="110"/>
      <c r="J639" s="110"/>
      <c r="K639" s="373"/>
      <c r="L639" s="374"/>
      <c r="M639" s="374"/>
      <c r="N639" s="374"/>
      <c r="O639" s="374"/>
      <c r="P639" s="372"/>
      <c r="Q639" s="372"/>
      <c r="R639" s="372"/>
      <c r="S639" s="110"/>
      <c r="T639" s="373"/>
      <c r="U639" s="373"/>
      <c r="V639" s="110"/>
      <c r="W639" s="371"/>
      <c r="X639" s="371"/>
      <c r="Y639" s="371"/>
      <c r="Z639" s="110"/>
      <c r="AA639" s="371"/>
      <c r="AB639" s="110"/>
    </row>
    <row r="640" spans="1:28" x14ac:dyDescent="0.25">
      <c r="A640" s="81"/>
      <c r="B640" s="271"/>
      <c r="C640" s="271"/>
      <c r="D640" s="271"/>
      <c r="E640" s="373"/>
      <c r="F640" s="371"/>
      <c r="G640" s="371"/>
      <c r="H640" s="110"/>
      <c r="I640" s="110"/>
      <c r="J640" s="110"/>
      <c r="K640" s="373"/>
      <c r="L640" s="374"/>
      <c r="M640" s="374"/>
      <c r="N640" s="374"/>
      <c r="O640" s="374"/>
      <c r="P640" s="372"/>
      <c r="Q640" s="372"/>
      <c r="R640" s="372"/>
      <c r="S640" s="110"/>
      <c r="T640" s="373"/>
      <c r="U640" s="373"/>
      <c r="V640" s="110"/>
      <c r="W640" s="371"/>
      <c r="X640" s="371"/>
      <c r="Y640" s="371"/>
      <c r="Z640" s="110"/>
      <c r="AA640" s="371"/>
      <c r="AB640" s="110"/>
    </row>
    <row r="641" spans="1:28" x14ac:dyDescent="0.25">
      <c r="A641" s="81"/>
      <c r="B641" s="271"/>
      <c r="C641" s="271"/>
      <c r="D641" s="271"/>
      <c r="E641" s="373"/>
      <c r="F641" s="371"/>
      <c r="G641" s="371"/>
      <c r="H641" s="110"/>
      <c r="I641" s="110"/>
      <c r="J641" s="110"/>
      <c r="K641" s="373"/>
      <c r="L641" s="374"/>
      <c r="M641" s="374"/>
      <c r="N641" s="374"/>
      <c r="O641" s="374"/>
      <c r="P641" s="372"/>
      <c r="Q641" s="372"/>
      <c r="R641" s="372"/>
      <c r="S641" s="110"/>
      <c r="T641" s="373"/>
      <c r="U641" s="373"/>
      <c r="V641" s="110"/>
      <c r="W641" s="371"/>
      <c r="X641" s="371"/>
      <c r="Y641" s="371"/>
      <c r="Z641" s="110"/>
      <c r="AA641" s="371"/>
      <c r="AB641" s="110"/>
    </row>
    <row r="642" spans="1:28" x14ac:dyDescent="0.25">
      <c r="A642" s="81"/>
      <c r="B642" s="271"/>
      <c r="C642" s="271"/>
      <c r="D642" s="271"/>
      <c r="E642" s="373"/>
      <c r="F642" s="371"/>
      <c r="G642" s="371"/>
      <c r="H642" s="110"/>
      <c r="I642" s="110"/>
      <c r="J642" s="110"/>
      <c r="K642" s="373"/>
      <c r="L642" s="374"/>
      <c r="M642" s="374"/>
      <c r="N642" s="374"/>
      <c r="O642" s="374"/>
      <c r="P642" s="372"/>
      <c r="Q642" s="372"/>
      <c r="R642" s="372"/>
      <c r="S642" s="110"/>
      <c r="T642" s="373"/>
      <c r="U642" s="373"/>
      <c r="V642" s="110"/>
      <c r="W642" s="371"/>
      <c r="X642" s="371"/>
      <c r="Y642" s="371"/>
      <c r="Z642" s="110"/>
      <c r="AA642" s="371"/>
      <c r="AB642" s="110"/>
    </row>
    <row r="643" spans="1:28" x14ac:dyDescent="0.25">
      <c r="A643" s="81"/>
      <c r="B643" s="271"/>
      <c r="C643" s="271"/>
      <c r="D643" s="271"/>
      <c r="E643" s="373"/>
      <c r="F643" s="371"/>
      <c r="G643" s="371"/>
      <c r="H643" s="110"/>
      <c r="I643" s="110"/>
      <c r="J643" s="110"/>
      <c r="K643" s="373"/>
      <c r="L643" s="374"/>
      <c r="M643" s="374"/>
      <c r="N643" s="374"/>
      <c r="O643" s="374"/>
      <c r="P643" s="372"/>
      <c r="Q643" s="372"/>
      <c r="R643" s="372"/>
      <c r="S643" s="110"/>
      <c r="T643" s="373"/>
      <c r="U643" s="373"/>
      <c r="V643" s="110"/>
      <c r="W643" s="371"/>
      <c r="X643" s="371"/>
      <c r="Y643" s="371"/>
      <c r="Z643" s="110"/>
      <c r="AA643" s="371"/>
      <c r="AB643" s="110"/>
    </row>
    <row r="644" spans="1:28" x14ac:dyDescent="0.25">
      <c r="A644" s="81"/>
      <c r="B644" s="271"/>
      <c r="C644" s="271"/>
      <c r="D644" s="271"/>
      <c r="E644" s="373"/>
      <c r="F644" s="371"/>
      <c r="G644" s="371"/>
      <c r="H644" s="110"/>
      <c r="I644" s="110"/>
      <c r="J644" s="110"/>
      <c r="K644" s="373"/>
      <c r="L644" s="374"/>
      <c r="M644" s="374"/>
      <c r="N644" s="374"/>
      <c r="O644" s="374"/>
      <c r="P644" s="372"/>
      <c r="Q644" s="372"/>
      <c r="R644" s="372"/>
      <c r="S644" s="110"/>
      <c r="T644" s="373"/>
      <c r="U644" s="373"/>
      <c r="V644" s="110"/>
      <c r="W644" s="371"/>
      <c r="X644" s="371"/>
      <c r="Y644" s="371"/>
      <c r="Z644" s="110"/>
      <c r="AA644" s="371"/>
      <c r="AB644" s="110"/>
    </row>
  </sheetData>
  <mergeCells count="407">
    <mergeCell ref="A10:A12"/>
    <mergeCell ref="B10:D12"/>
    <mergeCell ref="E10:E12"/>
    <mergeCell ref="F10:F12"/>
    <mergeCell ref="G10:J10"/>
    <mergeCell ref="K10:O11"/>
    <mergeCell ref="B4:H4"/>
    <mergeCell ref="R4:AB4"/>
    <mergeCell ref="B7:AB7"/>
    <mergeCell ref="B8:D8"/>
    <mergeCell ref="W8:Y8"/>
    <mergeCell ref="B9:Q9"/>
    <mergeCell ref="W9:AB9"/>
    <mergeCell ref="AB10:AB12"/>
    <mergeCell ref="AD10:AD12"/>
    <mergeCell ref="P10:S10"/>
    <mergeCell ref="T10:T12"/>
    <mergeCell ref="U10:U12"/>
    <mergeCell ref="V10:V12"/>
    <mergeCell ref="W10:W12"/>
    <mergeCell ref="X10:X12"/>
    <mergeCell ref="B14:D14"/>
    <mergeCell ref="B1:F1"/>
    <mergeCell ref="S1:AB1"/>
    <mergeCell ref="B2:H2"/>
    <mergeCell ref="R2:AB2"/>
    <mergeCell ref="B3:H3"/>
    <mergeCell ref="R3:AB3"/>
    <mergeCell ref="B62:D62"/>
    <mergeCell ref="B90:D90"/>
    <mergeCell ref="B91:D91"/>
    <mergeCell ref="B92:D92"/>
    <mergeCell ref="A93:D93"/>
    <mergeCell ref="AK10:AK12"/>
    <mergeCell ref="G11:G12"/>
    <mergeCell ref="H11:H12"/>
    <mergeCell ref="I11:I12"/>
    <mergeCell ref="J11:J12"/>
    <mergeCell ref="P11:P12"/>
    <mergeCell ref="Q11:Q12"/>
    <mergeCell ref="R11:R12"/>
    <mergeCell ref="S11:S12"/>
    <mergeCell ref="AE10:AE12"/>
    <mergeCell ref="AF10:AF12"/>
    <mergeCell ref="AG10:AG12"/>
    <mergeCell ref="AH10:AH12"/>
    <mergeCell ref="AI10:AI12"/>
    <mergeCell ref="AJ10:AJ12"/>
    <mergeCell ref="Y10:Y12"/>
    <mergeCell ref="Z10:Z12"/>
    <mergeCell ref="AA10:AA12"/>
    <mergeCell ref="AC10:AC12"/>
    <mergeCell ref="B195:D195"/>
    <mergeCell ref="B196:D196"/>
    <mergeCell ref="B197:D197"/>
    <mergeCell ref="B198:D198"/>
    <mergeCell ref="B199:D199"/>
    <mergeCell ref="A200:D200"/>
    <mergeCell ref="A94:D94"/>
    <mergeCell ref="A95:D95"/>
    <mergeCell ref="A96:D96"/>
    <mergeCell ref="B192:D192"/>
    <mergeCell ref="B193:D193"/>
    <mergeCell ref="B194:D194"/>
    <mergeCell ref="N219:N220"/>
    <mergeCell ref="O219:O220"/>
    <mergeCell ref="P219:P220"/>
    <mergeCell ref="Q219:Q220"/>
    <mergeCell ref="A201:D201"/>
    <mergeCell ref="G219:G220"/>
    <mergeCell ref="H219:H220"/>
    <mergeCell ref="I219:I220"/>
    <mergeCell ref="J219:J220"/>
    <mergeCell ref="K219:K220"/>
    <mergeCell ref="AH219:AH220"/>
    <mergeCell ref="AI219:AI220"/>
    <mergeCell ref="AJ219:AJ220"/>
    <mergeCell ref="G222:G223"/>
    <mergeCell ref="H222:H223"/>
    <mergeCell ref="I222:I223"/>
    <mergeCell ref="J222:J223"/>
    <mergeCell ref="K222:K223"/>
    <mergeCell ref="L222:L223"/>
    <mergeCell ref="M222:M223"/>
    <mergeCell ref="AA219:AA220"/>
    <mergeCell ref="AC219:AC220"/>
    <mergeCell ref="AD219:AD220"/>
    <mergeCell ref="AE219:AE220"/>
    <mergeCell ref="AF219:AF220"/>
    <mergeCell ref="AG219:AG220"/>
    <mergeCell ref="R219:R220"/>
    <mergeCell ref="S219:S220"/>
    <mergeCell ref="T219:T220"/>
    <mergeCell ref="U219:U220"/>
    <mergeCell ref="W219:W220"/>
    <mergeCell ref="X219:X220"/>
    <mergeCell ref="L219:L220"/>
    <mergeCell ref="M219:M220"/>
    <mergeCell ref="V222:V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N222:N223"/>
    <mergeCell ref="O222:O223"/>
    <mergeCell ref="P222:P223"/>
    <mergeCell ref="Q222:Q223"/>
    <mergeCell ref="R222:R223"/>
    <mergeCell ref="S222:S223"/>
    <mergeCell ref="AB224:AB225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U224:U225"/>
    <mergeCell ref="V224:V225"/>
    <mergeCell ref="W224:W225"/>
    <mergeCell ref="X224:X225"/>
    <mergeCell ref="Y224:Y225"/>
    <mergeCell ref="Z224:Z225"/>
    <mergeCell ref="O224:O225"/>
    <mergeCell ref="P224:P225"/>
    <mergeCell ref="Q224:Q225"/>
    <mergeCell ref="R224:R225"/>
    <mergeCell ref="S224:S225"/>
    <mergeCell ref="T224:T225"/>
    <mergeCell ref="U228:U229"/>
    <mergeCell ref="V228:V229"/>
    <mergeCell ref="H230:H231"/>
    <mergeCell ref="I230:I231"/>
    <mergeCell ref="J230:J231"/>
    <mergeCell ref="O228:O229"/>
    <mergeCell ref="P228:P229"/>
    <mergeCell ref="Q228:Q229"/>
    <mergeCell ref="R228:R229"/>
    <mergeCell ref="S228:S229"/>
    <mergeCell ref="AA224:AA225"/>
    <mergeCell ref="T228:T229"/>
    <mergeCell ref="U232:U233"/>
    <mergeCell ref="V232:V233"/>
    <mergeCell ref="F234:F235"/>
    <mergeCell ref="G234:G235"/>
    <mergeCell ref="H234:H235"/>
    <mergeCell ref="I234:I235"/>
    <mergeCell ref="J234:J235"/>
    <mergeCell ref="K234:K235"/>
    <mergeCell ref="M232:M233"/>
    <mergeCell ref="N232:N233"/>
    <mergeCell ref="O232:O233"/>
    <mergeCell ref="P232:P233"/>
    <mergeCell ref="Q232:Q233"/>
    <mergeCell ref="R232:R233"/>
    <mergeCell ref="G232:G233"/>
    <mergeCell ref="H232:H233"/>
    <mergeCell ref="I232:I233"/>
    <mergeCell ref="J232:J233"/>
    <mergeCell ref="K232:K233"/>
    <mergeCell ref="L232:L233"/>
    <mergeCell ref="G230:G231"/>
    <mergeCell ref="AA234:AA235"/>
    <mergeCell ref="AB234:AB235"/>
    <mergeCell ref="G238:G239"/>
    <mergeCell ref="H238:H239"/>
    <mergeCell ref="I238:I239"/>
    <mergeCell ref="J238:J239"/>
    <mergeCell ref="K238:K239"/>
    <mergeCell ref="R234:R235"/>
    <mergeCell ref="S234:S235"/>
    <mergeCell ref="T234:T235"/>
    <mergeCell ref="U234:U235"/>
    <mergeCell ref="V234:V235"/>
    <mergeCell ref="W234:W235"/>
    <mergeCell ref="L234:L235"/>
    <mergeCell ref="M234:M235"/>
    <mergeCell ref="N234:N235"/>
    <mergeCell ref="O234:O235"/>
    <mergeCell ref="P234:P235"/>
    <mergeCell ref="Q234:Q235"/>
    <mergeCell ref="R238:R239"/>
    <mergeCell ref="S238:S239"/>
    <mergeCell ref="S232:S233"/>
    <mergeCell ref="T232:T233"/>
    <mergeCell ref="L238:L239"/>
    <mergeCell ref="X234:X235"/>
    <mergeCell ref="Y234:Y235"/>
    <mergeCell ref="Z234:Z235"/>
    <mergeCell ref="M238:M239"/>
    <mergeCell ref="N238:N239"/>
    <mergeCell ref="O238:O239"/>
    <mergeCell ref="P238:P239"/>
    <mergeCell ref="Q238:Q239"/>
    <mergeCell ref="Z247:Z248"/>
    <mergeCell ref="AB247:AB248"/>
    <mergeCell ref="Y247:Y248"/>
    <mergeCell ref="H244:H245"/>
    <mergeCell ref="I244:I245"/>
    <mergeCell ref="J244:J245"/>
    <mergeCell ref="K244:K245"/>
    <mergeCell ref="L244:L245"/>
    <mergeCell ref="Y244:Y245"/>
    <mergeCell ref="N247:N248"/>
    <mergeCell ref="O247:O248"/>
    <mergeCell ref="P247:P248"/>
    <mergeCell ref="Q247:Q248"/>
    <mergeCell ref="R247:R248"/>
    <mergeCell ref="S247:S248"/>
    <mergeCell ref="AB244:AB245"/>
    <mergeCell ref="T244:T245"/>
    <mergeCell ref="U244:U245"/>
    <mergeCell ref="V244:V245"/>
    <mergeCell ref="W244:W245"/>
    <mergeCell ref="X244:X245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S244:S245"/>
    <mergeCell ref="M244:M245"/>
    <mergeCell ref="N244:N245"/>
    <mergeCell ref="O244:O245"/>
    <mergeCell ref="P244:P245"/>
    <mergeCell ref="Q244:Q245"/>
    <mergeCell ref="R244:R245"/>
    <mergeCell ref="E244:E245"/>
    <mergeCell ref="F244:F245"/>
    <mergeCell ref="G244:G245"/>
    <mergeCell ref="B400:D400"/>
    <mergeCell ref="A401:D401"/>
    <mergeCell ref="A402:D402"/>
    <mergeCell ref="A404:D404"/>
    <mergeCell ref="AM405:AN405"/>
    <mergeCell ref="A406:D406"/>
    <mergeCell ref="B291:D291"/>
    <mergeCell ref="B292:D292"/>
    <mergeCell ref="A293:D293"/>
    <mergeCell ref="A294:D294"/>
    <mergeCell ref="A343:D343"/>
    <mergeCell ref="B397:D397"/>
    <mergeCell ref="B287:D287"/>
    <mergeCell ref="B288:D288"/>
    <mergeCell ref="B289:D289"/>
    <mergeCell ref="B290:D290"/>
    <mergeCell ref="T247:T248"/>
    <mergeCell ref="U247:U248"/>
    <mergeCell ref="V247:V248"/>
    <mergeCell ref="W247:W248"/>
    <mergeCell ref="X247:X248"/>
    <mergeCell ref="B409:J409"/>
    <mergeCell ref="Q409:S409"/>
    <mergeCell ref="A412:A414"/>
    <mergeCell ref="B412:D414"/>
    <mergeCell ref="E412:E414"/>
    <mergeCell ref="F412:F414"/>
    <mergeCell ref="G412:J412"/>
    <mergeCell ref="K412:O413"/>
    <mergeCell ref="P412:S412"/>
    <mergeCell ref="S413:S414"/>
    <mergeCell ref="AI412:AI414"/>
    <mergeCell ref="AJ412:AJ414"/>
    <mergeCell ref="AK412:AK414"/>
    <mergeCell ref="G413:G414"/>
    <mergeCell ref="H413:H414"/>
    <mergeCell ref="I413:I414"/>
    <mergeCell ref="J413:J414"/>
    <mergeCell ref="P413:P414"/>
    <mergeCell ref="Q413:Q414"/>
    <mergeCell ref="R413:R414"/>
    <mergeCell ref="AC412:AC414"/>
    <mergeCell ref="AD412:AD414"/>
    <mergeCell ref="AE412:AE414"/>
    <mergeCell ref="AF412:AF414"/>
    <mergeCell ref="AG412:AG414"/>
    <mergeCell ref="AH412:AH414"/>
    <mergeCell ref="T412:T414"/>
    <mergeCell ref="U412:U414"/>
    <mergeCell ref="V412:V414"/>
    <mergeCell ref="W412:W414"/>
    <mergeCell ref="X412:X414"/>
    <mergeCell ref="AA412:AA414"/>
    <mergeCell ref="A421:D421"/>
    <mergeCell ref="A422:D422"/>
    <mergeCell ref="A423:D423"/>
    <mergeCell ref="A424:D424"/>
    <mergeCell ref="A425:D425"/>
    <mergeCell ref="A426:D426"/>
    <mergeCell ref="B415:D415"/>
    <mergeCell ref="A416:D416"/>
    <mergeCell ref="A417:D417"/>
    <mergeCell ref="A418:D418"/>
    <mergeCell ref="A419:D419"/>
    <mergeCell ref="A420:D420"/>
    <mergeCell ref="A433:D433"/>
    <mergeCell ref="A434:D434"/>
    <mergeCell ref="A435:D435"/>
    <mergeCell ref="A436:D436"/>
    <mergeCell ref="A437:D437"/>
    <mergeCell ref="A438:D438"/>
    <mergeCell ref="A427:D427"/>
    <mergeCell ref="A428:D428"/>
    <mergeCell ref="A429:D429"/>
    <mergeCell ref="A430:D430"/>
    <mergeCell ref="A431:D431"/>
    <mergeCell ref="A432:D432"/>
    <mergeCell ref="A445:D445"/>
    <mergeCell ref="A446:D446"/>
    <mergeCell ref="A447:D447"/>
    <mergeCell ref="A448:D448"/>
    <mergeCell ref="A449:D449"/>
    <mergeCell ref="A450:D450"/>
    <mergeCell ref="A439:D439"/>
    <mergeCell ref="A440:D440"/>
    <mergeCell ref="A441:D441"/>
    <mergeCell ref="A442:D442"/>
    <mergeCell ref="A443:D443"/>
    <mergeCell ref="A444:D444"/>
    <mergeCell ref="E470:G470"/>
    <mergeCell ref="H470:J470"/>
    <mergeCell ref="A457:D457"/>
    <mergeCell ref="A458:D458"/>
    <mergeCell ref="A459:D459"/>
    <mergeCell ref="B462:D462"/>
    <mergeCell ref="A463:D463"/>
    <mergeCell ref="A464:D464"/>
    <mergeCell ref="A451:D451"/>
    <mergeCell ref="A452:D452"/>
    <mergeCell ref="A453:D453"/>
    <mergeCell ref="A454:D454"/>
    <mergeCell ref="A455:D455"/>
    <mergeCell ref="A456:D456"/>
    <mergeCell ref="C472:D472"/>
    <mergeCell ref="C473:D473"/>
    <mergeCell ref="C474:D474"/>
    <mergeCell ref="C475:D475"/>
    <mergeCell ref="C476:D476"/>
    <mergeCell ref="C477:D477"/>
    <mergeCell ref="A465:D465"/>
    <mergeCell ref="A467:D467"/>
    <mergeCell ref="A468:D468"/>
    <mergeCell ref="C470:D471"/>
    <mergeCell ref="A485:A487"/>
    <mergeCell ref="B485:D487"/>
    <mergeCell ref="E485:E487"/>
    <mergeCell ref="F485:F487"/>
    <mergeCell ref="G485:J485"/>
    <mergeCell ref="K485:O486"/>
    <mergeCell ref="E477:G477"/>
    <mergeCell ref="H477:J477"/>
    <mergeCell ref="C478:D478"/>
    <mergeCell ref="E478:G478"/>
    <mergeCell ref="H478:J478"/>
    <mergeCell ref="C479:D479"/>
    <mergeCell ref="E479:G479"/>
    <mergeCell ref="H479:J479"/>
    <mergeCell ref="AK485:AK487"/>
    <mergeCell ref="G486:G487"/>
    <mergeCell ref="H486:H487"/>
    <mergeCell ref="I486:I487"/>
    <mergeCell ref="J486:J487"/>
    <mergeCell ref="P486:P487"/>
    <mergeCell ref="Q486:Q487"/>
    <mergeCell ref="AA485:AA487"/>
    <mergeCell ref="AC485:AC487"/>
    <mergeCell ref="AD485:AD487"/>
    <mergeCell ref="AE485:AE487"/>
    <mergeCell ref="AF485:AF487"/>
    <mergeCell ref="AG485:AG487"/>
    <mergeCell ref="P485:S485"/>
    <mergeCell ref="T485:T487"/>
    <mergeCell ref="U485:U487"/>
    <mergeCell ref="V485:V487"/>
    <mergeCell ref="W485:W487"/>
    <mergeCell ref="X485:X487"/>
    <mergeCell ref="R486:R487"/>
    <mergeCell ref="S486:S487"/>
    <mergeCell ref="B488:D488"/>
    <mergeCell ref="B489:D489"/>
    <mergeCell ref="B490:D490"/>
    <mergeCell ref="B491:D491"/>
    <mergeCell ref="B492:D492"/>
    <mergeCell ref="B493:D493"/>
    <mergeCell ref="AH485:AH487"/>
    <mergeCell ref="AI485:AI487"/>
    <mergeCell ref="AJ485:AJ487"/>
    <mergeCell ref="B500:D500"/>
    <mergeCell ref="B501:D501"/>
    <mergeCell ref="B502:D502"/>
    <mergeCell ref="B503:D503"/>
    <mergeCell ref="AD509:AG509"/>
    <mergeCell ref="B494:D494"/>
    <mergeCell ref="B495:D495"/>
    <mergeCell ref="B496:D496"/>
    <mergeCell ref="B497:D497"/>
    <mergeCell ref="B498:D498"/>
    <mergeCell ref="B499:D499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5"/>
  <sheetViews>
    <sheetView tabSelected="1" view="pageBreakPreview" topLeftCell="A16" zoomScale="85" zoomScaleNormal="70" zoomScaleSheetLayoutView="85" workbookViewId="0">
      <selection activeCell="A9" sqref="A9:V9"/>
    </sheetView>
  </sheetViews>
  <sheetFormatPr defaultRowHeight="15" x14ac:dyDescent="0.25"/>
  <cols>
    <col min="1" max="1" width="3.28515625" customWidth="1"/>
    <col min="2" max="2" width="26.85546875" customWidth="1"/>
    <col min="3" max="3" width="9.5703125" customWidth="1"/>
    <col min="4" max="4" width="8.85546875" customWidth="1"/>
    <col min="5" max="5" width="6.85546875" customWidth="1"/>
    <col min="6" max="6" width="6.85546875" style="501" customWidth="1"/>
    <col min="7" max="7" width="7.7109375" customWidth="1"/>
    <col min="8" max="8" width="9.28515625" customWidth="1"/>
    <col min="9" max="9" width="8.7109375" customWidth="1"/>
    <col min="10" max="10" width="11.28515625" customWidth="1"/>
    <col min="11" max="11" width="8" customWidth="1"/>
    <col min="12" max="12" width="7.7109375" customWidth="1"/>
    <col min="13" max="13" width="8" customWidth="1"/>
    <col min="14" max="14" width="7.7109375" customWidth="1"/>
    <col min="15" max="15" width="7.7109375" style="431" customWidth="1"/>
    <col min="16" max="16" width="7.42578125" customWidth="1"/>
    <col min="17" max="17" width="11.5703125" customWidth="1"/>
    <col min="18" max="18" width="5.5703125" customWidth="1"/>
    <col min="19" max="19" width="8" customWidth="1"/>
    <col min="20" max="20" width="4.5703125" customWidth="1"/>
    <col min="21" max="21" width="5.42578125" customWidth="1"/>
    <col min="22" max="22" width="13.140625" customWidth="1"/>
    <col min="23" max="23" width="12.140625" customWidth="1"/>
  </cols>
  <sheetData>
    <row r="2" spans="1:23" x14ac:dyDescent="0.2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46"/>
    </row>
    <row r="3" spans="1:23" ht="18.75" x14ac:dyDescent="0.3">
      <c r="A3" s="477"/>
      <c r="B3" s="499"/>
      <c r="D3" s="480"/>
      <c r="E3" s="481"/>
      <c r="F3" s="481"/>
      <c r="G3" s="477"/>
      <c r="H3" s="477"/>
      <c r="I3" s="477"/>
      <c r="J3" s="477"/>
      <c r="K3" s="477"/>
      <c r="L3" s="477"/>
      <c r="M3" s="477"/>
      <c r="N3" s="477"/>
      <c r="O3" s="477"/>
      <c r="P3" s="477" t="s">
        <v>308</v>
      </c>
      <c r="Q3" s="478"/>
      <c r="R3" s="477"/>
      <c r="S3" s="477"/>
      <c r="T3" s="478"/>
      <c r="V3" s="477"/>
      <c r="W3" s="446"/>
    </row>
    <row r="4" spans="1:23" ht="15.75" x14ac:dyDescent="0.25">
      <c r="A4" s="477"/>
      <c r="B4" s="499"/>
      <c r="C4" s="499"/>
      <c r="D4" s="499"/>
      <c r="E4" s="477"/>
      <c r="F4" s="477"/>
      <c r="G4" s="496"/>
      <c r="H4" s="496"/>
      <c r="I4" s="496"/>
      <c r="J4" s="496"/>
      <c r="K4" s="477"/>
      <c r="L4" s="477"/>
      <c r="M4" s="477"/>
      <c r="N4" s="477"/>
      <c r="O4" s="477"/>
      <c r="P4" s="477" t="s">
        <v>309</v>
      </c>
      <c r="Q4" s="477"/>
      <c r="R4" s="478"/>
      <c r="U4" s="478"/>
      <c r="V4" s="477"/>
      <c r="W4" s="446"/>
    </row>
    <row r="5" spans="1:23" ht="15.75" x14ac:dyDescent="0.25">
      <c r="A5" s="477"/>
      <c r="B5" s="477"/>
      <c r="C5" s="478"/>
      <c r="E5" s="477"/>
      <c r="F5" s="477"/>
      <c r="G5" s="496"/>
      <c r="H5" s="496"/>
      <c r="I5" s="496"/>
      <c r="J5" s="496"/>
      <c r="K5" s="477"/>
      <c r="L5" s="477"/>
      <c r="M5" s="477"/>
      <c r="N5" s="477"/>
      <c r="O5" s="477"/>
      <c r="P5" s="477" t="s">
        <v>310</v>
      </c>
      <c r="Q5" s="477"/>
      <c r="R5" s="477"/>
      <c r="S5" s="477"/>
      <c r="T5" s="477"/>
      <c r="U5" s="478"/>
      <c r="W5" s="446"/>
    </row>
    <row r="6" spans="1:23" ht="15.75" x14ac:dyDescent="0.25">
      <c r="A6" s="477"/>
      <c r="B6" s="478"/>
      <c r="C6" s="478"/>
      <c r="D6" s="478"/>
      <c r="E6" s="477"/>
      <c r="F6" s="477"/>
      <c r="G6" s="496"/>
      <c r="H6" s="496"/>
      <c r="I6" s="496"/>
      <c r="J6" s="496"/>
      <c r="K6" s="477"/>
      <c r="L6" s="477"/>
      <c r="M6" s="477"/>
      <c r="N6" s="477"/>
      <c r="O6" s="477"/>
      <c r="P6" s="477" t="s">
        <v>311</v>
      </c>
      <c r="Q6" s="477"/>
      <c r="R6" s="478"/>
      <c r="T6" s="478"/>
      <c r="U6" s="478"/>
      <c r="V6" s="477"/>
      <c r="W6" s="446"/>
    </row>
    <row r="7" spans="1:23" ht="15.75" x14ac:dyDescent="0.25">
      <c r="A7" s="477"/>
      <c r="B7" s="477"/>
      <c r="C7" s="497"/>
      <c r="D7" s="497"/>
      <c r="E7" s="497"/>
      <c r="F7" s="497"/>
      <c r="G7" s="496"/>
      <c r="H7" s="496"/>
      <c r="I7" s="496"/>
      <c r="J7" s="496"/>
      <c r="K7" s="477"/>
      <c r="L7" s="477"/>
      <c r="M7" s="477"/>
      <c r="N7" s="477"/>
      <c r="O7" s="477"/>
      <c r="P7" s="477"/>
      <c r="Q7" s="477"/>
      <c r="R7" s="477"/>
      <c r="S7" s="477"/>
      <c r="T7" s="498"/>
      <c r="U7" s="498"/>
      <c r="V7" s="477"/>
      <c r="W7" s="446"/>
    </row>
    <row r="8" spans="1:23" ht="15.75" x14ac:dyDescent="0.25">
      <c r="A8" s="477"/>
      <c r="B8" s="477"/>
      <c r="C8" s="477"/>
      <c r="D8" s="477"/>
      <c r="E8" s="477"/>
      <c r="F8" s="477"/>
      <c r="G8" s="496"/>
      <c r="H8" s="496"/>
      <c r="I8" s="496"/>
      <c r="J8" s="496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46"/>
    </row>
    <row r="9" spans="1:23" x14ac:dyDescent="0.25">
      <c r="A9" s="759" t="s">
        <v>313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446"/>
    </row>
    <row r="10" spans="1:23" ht="15.75" x14ac:dyDescent="0.25">
      <c r="A10" s="477"/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46"/>
    </row>
    <row r="11" spans="1:23" ht="14.45" customHeight="1" x14ac:dyDescent="0.25">
      <c r="A11" s="760" t="s">
        <v>33</v>
      </c>
      <c r="B11" s="761" t="s">
        <v>39</v>
      </c>
      <c r="C11" s="544" t="s">
        <v>34</v>
      </c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431"/>
    </row>
    <row r="12" spans="1:23" ht="0.6" customHeight="1" x14ac:dyDescent="0.25">
      <c r="A12" s="760"/>
      <c r="B12" s="762"/>
      <c r="C12" s="545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431"/>
    </row>
    <row r="13" spans="1:23" ht="15" customHeight="1" x14ac:dyDescent="0.25">
      <c r="A13" s="760"/>
      <c r="B13" s="762"/>
      <c r="C13" s="545"/>
      <c r="D13" s="750" t="s">
        <v>35</v>
      </c>
      <c r="E13" s="750" t="s">
        <v>21</v>
      </c>
      <c r="F13" s="750" t="s">
        <v>300</v>
      </c>
      <c r="G13" s="751"/>
      <c r="H13" s="532" t="s">
        <v>22</v>
      </c>
      <c r="I13" s="532" t="s">
        <v>292</v>
      </c>
      <c r="J13" s="750" t="s">
        <v>303</v>
      </c>
      <c r="K13" s="532" t="s">
        <v>42</v>
      </c>
      <c r="L13" s="532" t="s">
        <v>44</v>
      </c>
      <c r="M13" s="532" t="s">
        <v>259</v>
      </c>
      <c r="N13" s="532" t="s">
        <v>45</v>
      </c>
      <c r="O13" s="532" t="s">
        <v>264</v>
      </c>
      <c r="P13" s="532" t="s">
        <v>46</v>
      </c>
      <c r="Q13" s="532" t="s">
        <v>47</v>
      </c>
      <c r="R13" s="532" t="s">
        <v>255</v>
      </c>
      <c r="S13" s="532" t="s">
        <v>257</v>
      </c>
      <c r="T13" s="532" t="s">
        <v>304</v>
      </c>
      <c r="U13" s="538"/>
      <c r="V13" s="548" t="s">
        <v>50</v>
      </c>
      <c r="W13" s="431"/>
    </row>
    <row r="14" spans="1:23" x14ac:dyDescent="0.25">
      <c r="A14" s="760"/>
      <c r="B14" s="762"/>
      <c r="C14" s="545"/>
      <c r="D14" s="752"/>
      <c r="E14" s="752"/>
      <c r="F14" s="752"/>
      <c r="G14" s="753"/>
      <c r="H14" s="534"/>
      <c r="I14" s="534"/>
      <c r="J14" s="752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9"/>
      <c r="V14" s="549"/>
      <c r="W14" s="431"/>
    </row>
    <row r="15" spans="1:23" ht="128.25" customHeight="1" x14ac:dyDescent="0.25">
      <c r="A15" s="760"/>
      <c r="B15" s="762"/>
      <c r="C15" s="546"/>
      <c r="D15" s="754"/>
      <c r="E15" s="754"/>
      <c r="F15" s="754"/>
      <c r="G15" s="755"/>
      <c r="H15" s="536"/>
      <c r="I15" s="536"/>
      <c r="J15" s="754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40"/>
      <c r="V15" s="550"/>
      <c r="W15" s="431"/>
    </row>
    <row r="16" spans="1:23" ht="26.25" customHeight="1" x14ac:dyDescent="0.25">
      <c r="A16" s="483"/>
      <c r="B16" s="763"/>
      <c r="C16" s="475" t="s">
        <v>40</v>
      </c>
      <c r="D16" s="484" t="s">
        <v>25</v>
      </c>
      <c r="E16" s="485" t="s">
        <v>27</v>
      </c>
      <c r="F16" s="485" t="s">
        <v>301</v>
      </c>
      <c r="G16" s="484" t="s">
        <v>302</v>
      </c>
      <c r="H16" s="475" t="s">
        <v>25</v>
      </c>
      <c r="I16" s="475" t="s">
        <v>258</v>
      </c>
      <c r="J16" s="504" t="s">
        <v>25</v>
      </c>
      <c r="K16" s="475" t="s">
        <v>36</v>
      </c>
      <c r="L16" s="486" t="s">
        <v>28</v>
      </c>
      <c r="M16" s="486" t="s">
        <v>28</v>
      </c>
      <c r="N16" s="486" t="s">
        <v>28</v>
      </c>
      <c r="O16" s="475" t="s">
        <v>25</v>
      </c>
      <c r="P16" s="486" t="s">
        <v>29</v>
      </c>
      <c r="Q16" s="475" t="s">
        <v>25</v>
      </c>
      <c r="R16" s="475" t="s">
        <v>256</v>
      </c>
      <c r="S16" s="475" t="s">
        <v>25</v>
      </c>
      <c r="T16" s="503" t="s">
        <v>28</v>
      </c>
      <c r="U16" s="475" t="s">
        <v>25</v>
      </c>
      <c r="V16" s="476" t="s">
        <v>26</v>
      </c>
      <c r="W16" s="431"/>
    </row>
    <row r="17" spans="1:34" s="454" customFormat="1" ht="13.15" customHeight="1" x14ac:dyDescent="0.25">
      <c r="A17" s="487">
        <v>1</v>
      </c>
      <c r="B17" s="488" t="s">
        <v>271</v>
      </c>
      <c r="C17" s="484">
        <v>9050</v>
      </c>
      <c r="D17" s="764">
        <f>D41</f>
        <v>7050.04</v>
      </c>
      <c r="E17" s="764">
        <f t="shared" ref="E17:U17" si="0">E41</f>
        <v>46.1</v>
      </c>
      <c r="F17" s="764">
        <f t="shared" si="0"/>
        <v>2820</v>
      </c>
      <c r="G17" s="764">
        <f t="shared" si="0"/>
        <v>1630</v>
      </c>
      <c r="H17" s="764">
        <f t="shared" si="0"/>
        <v>47800</v>
      </c>
      <c r="I17" s="764">
        <f t="shared" si="0"/>
        <v>400</v>
      </c>
      <c r="J17" s="764">
        <f t="shared" si="0"/>
        <v>1211.6400000000001</v>
      </c>
      <c r="K17" s="764">
        <f t="shared" si="0"/>
        <v>2470</v>
      </c>
      <c r="L17" s="764">
        <f t="shared" si="0"/>
        <v>0</v>
      </c>
      <c r="M17" s="764">
        <f t="shared" si="0"/>
        <v>1</v>
      </c>
      <c r="N17" s="764">
        <f t="shared" si="0"/>
        <v>3</v>
      </c>
      <c r="O17" s="764">
        <f t="shared" si="0"/>
        <v>255</v>
      </c>
      <c r="P17" s="764">
        <f t="shared" si="0"/>
        <v>183</v>
      </c>
      <c r="Q17" s="764">
        <f t="shared" si="0"/>
        <v>112</v>
      </c>
      <c r="R17" s="764">
        <f t="shared" si="0"/>
        <v>0</v>
      </c>
      <c r="S17" s="764">
        <f t="shared" si="0"/>
        <v>600</v>
      </c>
      <c r="T17" s="764">
        <f t="shared" si="0"/>
        <v>8</v>
      </c>
      <c r="U17" s="764">
        <f t="shared" si="0"/>
        <v>125</v>
      </c>
      <c r="V17" s="756">
        <v>40300000</v>
      </c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</row>
    <row r="18" spans="1:34" s="454" customFormat="1" ht="14.45" customHeight="1" x14ac:dyDescent="0.25">
      <c r="A18" s="487">
        <v>2</v>
      </c>
      <c r="B18" s="488" t="s">
        <v>272</v>
      </c>
      <c r="C18" s="484">
        <v>14296</v>
      </c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57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</row>
    <row r="19" spans="1:34" s="454" customFormat="1" ht="13.9" customHeight="1" x14ac:dyDescent="0.25">
      <c r="A19" s="487">
        <v>3</v>
      </c>
      <c r="B19" s="488" t="s">
        <v>273</v>
      </c>
      <c r="C19" s="484">
        <v>7960</v>
      </c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57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</row>
    <row r="20" spans="1:34" s="454" customFormat="1" ht="13.9" customHeight="1" x14ac:dyDescent="0.25">
      <c r="A20" s="487">
        <v>4</v>
      </c>
      <c r="B20" s="488" t="s">
        <v>274</v>
      </c>
      <c r="C20" s="484">
        <v>6710</v>
      </c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57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</row>
    <row r="21" spans="1:34" s="454" customFormat="1" ht="14.45" customHeight="1" x14ac:dyDescent="0.25">
      <c r="A21" s="487">
        <v>5</v>
      </c>
      <c r="B21" s="488" t="s">
        <v>275</v>
      </c>
      <c r="C21" s="484">
        <v>6933</v>
      </c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57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</row>
    <row r="22" spans="1:34" s="454" customFormat="1" ht="14.45" customHeight="1" x14ac:dyDescent="0.25">
      <c r="A22" s="487">
        <v>6</v>
      </c>
      <c r="B22" s="488" t="s">
        <v>276</v>
      </c>
      <c r="C22" s="484">
        <v>7294</v>
      </c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5"/>
      <c r="V22" s="757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</row>
    <row r="23" spans="1:34" s="454" customFormat="1" ht="13.9" customHeight="1" x14ac:dyDescent="0.25">
      <c r="A23" s="487">
        <v>7</v>
      </c>
      <c r="B23" s="488" t="s">
        <v>277</v>
      </c>
      <c r="C23" s="484">
        <v>4988</v>
      </c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57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</row>
    <row r="24" spans="1:34" s="454" customFormat="1" ht="15" customHeight="1" x14ac:dyDescent="0.25">
      <c r="A24" s="487">
        <v>8</v>
      </c>
      <c r="B24" s="488" t="s">
        <v>278</v>
      </c>
      <c r="C24" s="484">
        <v>5714</v>
      </c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57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</row>
    <row r="25" spans="1:34" s="454" customFormat="1" ht="15" customHeight="1" x14ac:dyDescent="0.25">
      <c r="A25" s="487">
        <v>9</v>
      </c>
      <c r="B25" s="488" t="s">
        <v>279</v>
      </c>
      <c r="C25" s="484">
        <v>8938</v>
      </c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57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</row>
    <row r="26" spans="1:34" s="454" customFormat="1" ht="13.9" customHeight="1" x14ac:dyDescent="0.25">
      <c r="A26" s="487">
        <v>10</v>
      </c>
      <c r="B26" s="488" t="s">
        <v>280</v>
      </c>
      <c r="C26" s="484">
        <v>6681</v>
      </c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57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</row>
    <row r="27" spans="1:34" s="454" customFormat="1" ht="15" customHeight="1" x14ac:dyDescent="0.25">
      <c r="A27" s="487">
        <v>11</v>
      </c>
      <c r="B27" s="488" t="s">
        <v>281</v>
      </c>
      <c r="C27" s="484">
        <v>6511</v>
      </c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57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</row>
    <row r="28" spans="1:34" s="454" customFormat="1" ht="15" customHeight="1" x14ac:dyDescent="0.25">
      <c r="A28" s="487">
        <v>12</v>
      </c>
      <c r="B28" s="488" t="s">
        <v>282</v>
      </c>
      <c r="C28" s="484">
        <v>4150</v>
      </c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57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</row>
    <row r="29" spans="1:34" s="454" customFormat="1" ht="13.9" customHeight="1" x14ac:dyDescent="0.25">
      <c r="A29" s="487">
        <v>13</v>
      </c>
      <c r="B29" s="488" t="s">
        <v>283</v>
      </c>
      <c r="C29" s="484">
        <v>6939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57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</row>
    <row r="30" spans="1:34" s="454" customFormat="1" ht="15.6" customHeight="1" x14ac:dyDescent="0.25">
      <c r="A30" s="487">
        <v>14</v>
      </c>
      <c r="B30" s="488" t="s">
        <v>284</v>
      </c>
      <c r="C30" s="484">
        <v>4831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57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</row>
    <row r="31" spans="1:34" s="454" customFormat="1" ht="12.6" customHeight="1" x14ac:dyDescent="0.25">
      <c r="A31" s="487">
        <v>15</v>
      </c>
      <c r="B31" s="488" t="s">
        <v>285</v>
      </c>
      <c r="C31" s="484">
        <v>7983</v>
      </c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U31" s="765"/>
      <c r="V31" s="757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</row>
    <row r="32" spans="1:34" s="454" customFormat="1" ht="13.15" customHeight="1" x14ac:dyDescent="0.25">
      <c r="A32" s="487">
        <v>16</v>
      </c>
      <c r="B32" s="488" t="s">
        <v>286</v>
      </c>
      <c r="C32" s="484">
        <v>7002</v>
      </c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57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</row>
    <row r="33" spans="1:34" s="454" customFormat="1" ht="15" customHeight="1" x14ac:dyDescent="0.25">
      <c r="A33" s="487">
        <v>17</v>
      </c>
      <c r="B33" s="488" t="s">
        <v>287</v>
      </c>
      <c r="C33" s="484">
        <v>7869</v>
      </c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765"/>
      <c r="V33" s="757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</row>
    <row r="34" spans="1:34" s="454" customFormat="1" ht="16.149999999999999" customHeight="1" x14ac:dyDescent="0.25">
      <c r="A34" s="487">
        <v>18</v>
      </c>
      <c r="B34" s="488" t="s">
        <v>288</v>
      </c>
      <c r="C34" s="484">
        <v>5714</v>
      </c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57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</row>
    <row r="35" spans="1:34" s="454" customFormat="1" ht="15.6" customHeight="1" x14ac:dyDescent="0.25">
      <c r="A35" s="487">
        <v>19</v>
      </c>
      <c r="B35" s="488" t="s">
        <v>289</v>
      </c>
      <c r="C35" s="484">
        <v>6072</v>
      </c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57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</row>
    <row r="36" spans="1:34" s="454" customFormat="1" ht="15.6" customHeight="1" x14ac:dyDescent="0.25">
      <c r="A36" s="487">
        <v>20</v>
      </c>
      <c r="B36" s="488" t="s">
        <v>290</v>
      </c>
      <c r="C36" s="484">
        <v>4119</v>
      </c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57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</row>
    <row r="37" spans="1:34" ht="13.9" customHeight="1" x14ac:dyDescent="0.25">
      <c r="A37" s="487">
        <v>21</v>
      </c>
      <c r="B37" s="488" t="s">
        <v>291</v>
      </c>
      <c r="C37" s="484">
        <v>0</v>
      </c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57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</row>
    <row r="38" spans="1:34" ht="12" customHeight="1" x14ac:dyDescent="0.25">
      <c r="A38" s="487">
        <v>22</v>
      </c>
      <c r="B38" s="488" t="s">
        <v>307</v>
      </c>
      <c r="C38" s="484">
        <v>0</v>
      </c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58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</row>
    <row r="39" spans="1:34" s="505" customFormat="1" ht="12" customHeight="1" x14ac:dyDescent="0.25">
      <c r="A39" s="487"/>
      <c r="B39" s="488" t="s">
        <v>305</v>
      </c>
      <c r="C39" s="747">
        <v>1571754.3</v>
      </c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9"/>
      <c r="V39" s="509">
        <f>C39</f>
        <v>1571754.3</v>
      </c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</row>
    <row r="40" spans="1:34" s="505" customFormat="1" ht="54" customHeight="1" x14ac:dyDescent="0.25">
      <c r="A40" s="487"/>
      <c r="B40" s="488" t="s">
        <v>306</v>
      </c>
      <c r="C40" s="747">
        <v>3128245.7</v>
      </c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9"/>
      <c r="V40" s="509">
        <f>C40</f>
        <v>3128245.7</v>
      </c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</row>
    <row r="41" spans="1:34" x14ac:dyDescent="0.25">
      <c r="A41" s="489"/>
      <c r="B41" s="396" t="s">
        <v>236</v>
      </c>
      <c r="C41" s="502">
        <f>SUM(C17:C38)</f>
        <v>139754</v>
      </c>
      <c r="D41" s="508">
        <v>7050.04</v>
      </c>
      <c r="E41" s="508">
        <v>46.1</v>
      </c>
      <c r="F41" s="508">
        <v>2820</v>
      </c>
      <c r="G41" s="508">
        <v>1630</v>
      </c>
      <c r="H41" s="508">
        <v>47800</v>
      </c>
      <c r="I41" s="508">
        <v>400</v>
      </c>
      <c r="J41" s="508">
        <v>1211.6400000000001</v>
      </c>
      <c r="K41" s="508">
        <v>2470</v>
      </c>
      <c r="L41" s="508">
        <v>0</v>
      </c>
      <c r="M41" s="508">
        <v>1</v>
      </c>
      <c r="N41" s="508">
        <v>3</v>
      </c>
      <c r="O41" s="508">
        <v>255</v>
      </c>
      <c r="P41" s="508">
        <v>183</v>
      </c>
      <c r="Q41" s="508">
        <v>112</v>
      </c>
      <c r="R41" s="508">
        <v>0</v>
      </c>
      <c r="S41" s="508">
        <v>600</v>
      </c>
      <c r="T41" s="508">
        <v>8</v>
      </c>
      <c r="U41" s="508">
        <v>125</v>
      </c>
      <c r="V41" s="490">
        <f>SUM(V17:V40)</f>
        <v>45000000</v>
      </c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</row>
    <row r="42" spans="1:34" x14ac:dyDescent="0.25">
      <c r="A42" s="491"/>
      <c r="B42" s="492"/>
      <c r="C42" s="492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7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</row>
    <row r="43" spans="1:34" ht="93" customHeight="1" x14ac:dyDescent="0.25">
      <c r="A43" s="493"/>
      <c r="B43" s="494" t="s">
        <v>312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5"/>
      <c r="W43" s="445"/>
    </row>
    <row r="44" spans="1:34" x14ac:dyDescent="0.25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510">
        <f>45000000-V41</f>
        <v>0</v>
      </c>
    </row>
    <row r="45" spans="1:34" x14ac:dyDescent="0.25">
      <c r="V45" s="445">
        <f>V17+V44</f>
        <v>40300000</v>
      </c>
    </row>
  </sheetData>
  <autoFilter ref="A16:BD41">
    <filterColumn colId="9" showButton="0"/>
  </autoFilter>
  <mergeCells count="43">
    <mergeCell ref="S17:S38"/>
    <mergeCell ref="T17:T38"/>
    <mergeCell ref="U17:U38"/>
    <mergeCell ref="N17:N38"/>
    <mergeCell ref="O17:O38"/>
    <mergeCell ref="P17:P38"/>
    <mergeCell ref="Q17:Q38"/>
    <mergeCell ref="R17:R38"/>
    <mergeCell ref="I17:I38"/>
    <mergeCell ref="J17:J38"/>
    <mergeCell ref="K17:K38"/>
    <mergeCell ref="L17:L38"/>
    <mergeCell ref="M17:M38"/>
    <mergeCell ref="D17:D38"/>
    <mergeCell ref="E17:E38"/>
    <mergeCell ref="F17:F38"/>
    <mergeCell ref="G17:G38"/>
    <mergeCell ref="H17:H38"/>
    <mergeCell ref="H13:H15"/>
    <mergeCell ref="I13:I15"/>
    <mergeCell ref="V13:V15"/>
    <mergeCell ref="O13:O15"/>
    <mergeCell ref="P13:P15"/>
    <mergeCell ref="Q13:Q15"/>
    <mergeCell ref="R13:R15"/>
    <mergeCell ref="S13:S15"/>
    <mergeCell ref="T13:U15"/>
    <mergeCell ref="C39:U39"/>
    <mergeCell ref="C40:U40"/>
    <mergeCell ref="F13:G15"/>
    <mergeCell ref="V17:V38"/>
    <mergeCell ref="A9:V9"/>
    <mergeCell ref="A11:A15"/>
    <mergeCell ref="C11:C15"/>
    <mergeCell ref="D11:V12"/>
    <mergeCell ref="N13:N15"/>
    <mergeCell ref="B11:B16"/>
    <mergeCell ref="J13:J15"/>
    <mergeCell ref="K13:K15"/>
    <mergeCell ref="L13:L15"/>
    <mergeCell ref="M13:M15"/>
    <mergeCell ref="D13:D15"/>
    <mergeCell ref="E13:E15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U44"/>
  <sheetViews>
    <sheetView topLeftCell="V25" workbookViewId="0">
      <selection activeCell="AF43" sqref="AF43"/>
    </sheetView>
  </sheetViews>
  <sheetFormatPr defaultRowHeight="15" x14ac:dyDescent="0.25"/>
  <cols>
    <col min="1" max="1" width="2.42578125" customWidth="1"/>
    <col min="2" max="2" width="13.5703125" customWidth="1"/>
    <col min="3" max="3" width="2.85546875" customWidth="1"/>
    <col min="4" max="4" width="2.7109375" customWidth="1"/>
    <col min="5" max="5" width="6.7109375" customWidth="1"/>
    <col min="6" max="6" width="6.85546875" hidden="1" customWidth="1"/>
    <col min="7" max="7" width="0" hidden="1" customWidth="1"/>
    <col min="8" max="8" width="3.140625" hidden="1" customWidth="1"/>
    <col min="9" max="9" width="8.140625" hidden="1" customWidth="1"/>
    <col min="10" max="10" width="5.28515625" hidden="1" customWidth="1"/>
    <col min="11" max="11" width="8" hidden="1" customWidth="1"/>
    <col min="12" max="12" width="6.28515625" customWidth="1"/>
    <col min="13" max="13" width="9.7109375" customWidth="1"/>
    <col min="14" max="14" width="4.85546875" customWidth="1"/>
    <col min="16" max="16" width="5.85546875" hidden="1" customWidth="1"/>
    <col min="17" max="17" width="0" hidden="1" customWidth="1"/>
    <col min="18" max="18" width="4.5703125" hidden="1" customWidth="1"/>
    <col min="19" max="19" width="7.85546875" hidden="1" customWidth="1"/>
    <col min="20" max="20" width="6" customWidth="1"/>
    <col min="22" max="22" width="2.28515625" customWidth="1"/>
    <col min="23" max="23" width="8.140625" customWidth="1"/>
    <col min="24" max="24" width="2.85546875" customWidth="1"/>
    <col min="26" max="26" width="2.85546875" customWidth="1"/>
    <col min="27" max="27" width="9.28515625" customWidth="1"/>
    <col min="28" max="31" width="0" hidden="1" customWidth="1"/>
    <col min="32" max="32" width="5.42578125" customWidth="1"/>
    <col min="34" max="34" width="4.42578125" customWidth="1"/>
    <col min="36" max="36" width="5.28515625" customWidth="1"/>
    <col min="38" max="38" width="3.7109375" customWidth="1"/>
    <col min="39" max="39" width="8" customWidth="1"/>
    <col min="40" max="40" width="5.140625" customWidth="1"/>
    <col min="42" max="42" width="4.140625" customWidth="1"/>
    <col min="43" max="43" width="4.42578125" customWidth="1"/>
    <col min="45" max="45" width="9.7109375" hidden="1" customWidth="1"/>
    <col min="46" max="46" width="9.7109375" customWidth="1"/>
  </cols>
  <sheetData>
    <row r="3" spans="1: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7" x14ac:dyDescent="0.25">
      <c r="A4" s="2"/>
      <c r="B4" s="2"/>
      <c r="C4" s="15" t="s">
        <v>295</v>
      </c>
      <c r="D4" s="15"/>
      <c r="E4" s="15"/>
      <c r="F4" s="15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5"/>
      <c r="AQ4" s="15" t="s">
        <v>298</v>
      </c>
      <c r="AR4" s="15"/>
      <c r="AS4" s="2"/>
      <c r="AT4" s="2"/>
    </row>
    <row r="5" spans="1:47" x14ac:dyDescent="0.25">
      <c r="A5" s="2"/>
      <c r="B5" s="500" t="s">
        <v>296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13" t="s">
        <v>260</v>
      </c>
      <c r="AP5" s="513"/>
      <c r="AQ5" s="513"/>
      <c r="AR5" s="513"/>
      <c r="AS5" s="513"/>
      <c r="AT5" s="513"/>
      <c r="AU5" s="513"/>
    </row>
    <row r="6" spans="1:47" x14ac:dyDescent="0.25">
      <c r="A6" s="2"/>
      <c r="B6" s="2"/>
      <c r="C6" s="15"/>
      <c r="D6" s="15"/>
      <c r="E6" s="500"/>
      <c r="F6" s="500"/>
      <c r="G6" s="500"/>
      <c r="H6" s="500"/>
      <c r="I6" s="500"/>
      <c r="J6" s="500"/>
      <c r="K6" s="500"/>
      <c r="L6" s="500" t="s">
        <v>297</v>
      </c>
      <c r="M6" s="500"/>
      <c r="N6" s="500"/>
      <c r="O6" s="500"/>
      <c r="P6" s="500"/>
      <c r="Q6" s="500"/>
      <c r="R6" s="500"/>
      <c r="S6" s="500"/>
      <c r="T6" s="50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5"/>
      <c r="AR6" s="2"/>
      <c r="AS6" s="2"/>
      <c r="AT6" s="15" t="s">
        <v>299</v>
      </c>
    </row>
    <row r="7" spans="1:47" x14ac:dyDescent="0.25">
      <c r="A7" s="2"/>
      <c r="B7" s="2"/>
      <c r="C7" s="15"/>
      <c r="D7" s="15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5"/>
      <c r="AQ7" s="15"/>
      <c r="AR7" s="15"/>
      <c r="AS7" s="2"/>
      <c r="AT7" s="2"/>
    </row>
    <row r="8" spans="1:47" x14ac:dyDescent="0.25">
      <c r="A8" s="2"/>
      <c r="B8" s="2"/>
      <c r="C8" s="10"/>
      <c r="D8" s="1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82"/>
      <c r="AQ8" s="482"/>
      <c r="AR8" s="482"/>
      <c r="AS8" s="2"/>
      <c r="AT8" s="2"/>
    </row>
    <row r="9" spans="1:4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7" x14ac:dyDescent="0.25">
      <c r="A10" s="759" t="s">
        <v>263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9"/>
      <c r="AL10" s="759"/>
      <c r="AM10" s="759"/>
      <c r="AN10" s="759"/>
      <c r="AO10" s="759"/>
      <c r="AP10" s="759"/>
      <c r="AQ10" s="759"/>
      <c r="AR10" s="759"/>
      <c r="AS10" s="759"/>
      <c r="AT10" s="759"/>
    </row>
    <row r="11" spans="1:4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7" x14ac:dyDescent="0.25">
      <c r="A12" s="562" t="s">
        <v>33</v>
      </c>
      <c r="B12" s="782" t="s">
        <v>39</v>
      </c>
      <c r="C12" s="783"/>
      <c r="D12" s="784"/>
      <c r="E12" s="791" t="s">
        <v>34</v>
      </c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794"/>
      <c r="AI12" s="794"/>
      <c r="AJ12" s="794"/>
      <c r="AK12" s="794"/>
      <c r="AL12" s="794"/>
      <c r="AM12" s="794"/>
      <c r="AN12" s="794"/>
      <c r="AO12" s="794"/>
      <c r="AP12" s="794"/>
      <c r="AQ12" s="794"/>
      <c r="AR12" s="794"/>
      <c r="AS12" s="794"/>
      <c r="AT12" s="794"/>
    </row>
    <row r="13" spans="1:47" x14ac:dyDescent="0.25">
      <c r="A13" s="562"/>
      <c r="B13" s="785"/>
      <c r="C13" s="786"/>
      <c r="D13" s="787"/>
      <c r="E13" s="792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4"/>
      <c r="AE13" s="794"/>
      <c r="AF13" s="794"/>
      <c r="AG13" s="794"/>
      <c r="AH13" s="794"/>
      <c r="AI13" s="794"/>
      <c r="AJ13" s="794"/>
      <c r="AK13" s="794"/>
      <c r="AL13" s="794"/>
      <c r="AM13" s="794"/>
      <c r="AN13" s="794"/>
      <c r="AO13" s="794"/>
      <c r="AP13" s="794"/>
      <c r="AQ13" s="794"/>
      <c r="AR13" s="794"/>
      <c r="AS13" s="794"/>
      <c r="AT13" s="794"/>
    </row>
    <row r="14" spans="1:47" x14ac:dyDescent="0.25">
      <c r="A14" s="562"/>
      <c r="B14" s="785"/>
      <c r="C14" s="786"/>
      <c r="D14" s="787"/>
      <c r="E14" s="792"/>
      <c r="F14" s="767" t="s">
        <v>35</v>
      </c>
      <c r="G14" s="773"/>
      <c r="H14" s="767" t="s">
        <v>21</v>
      </c>
      <c r="I14" s="768"/>
      <c r="J14" s="767" t="s">
        <v>41</v>
      </c>
      <c r="K14" s="768"/>
      <c r="L14" s="767" t="s">
        <v>22</v>
      </c>
      <c r="M14" s="768"/>
      <c r="N14" s="767" t="s">
        <v>254</v>
      </c>
      <c r="O14" s="768"/>
      <c r="P14" s="767" t="s">
        <v>224</v>
      </c>
      <c r="Q14" s="773"/>
      <c r="R14" s="773"/>
      <c r="S14" s="768"/>
      <c r="T14" s="767" t="s">
        <v>42</v>
      </c>
      <c r="U14" s="768"/>
      <c r="V14" s="767" t="s">
        <v>44</v>
      </c>
      <c r="W14" s="768"/>
      <c r="X14" s="767" t="s">
        <v>259</v>
      </c>
      <c r="Y14" s="768"/>
      <c r="Z14" s="767" t="s">
        <v>45</v>
      </c>
      <c r="AA14" s="768"/>
      <c r="AB14" s="767" t="s">
        <v>252</v>
      </c>
      <c r="AC14" s="768"/>
      <c r="AD14" s="767" t="s">
        <v>253</v>
      </c>
      <c r="AE14" s="768"/>
      <c r="AF14" s="767" t="s">
        <v>264</v>
      </c>
      <c r="AG14" s="768"/>
      <c r="AH14" s="767" t="s">
        <v>46</v>
      </c>
      <c r="AI14" s="768"/>
      <c r="AJ14" s="767" t="s">
        <v>47</v>
      </c>
      <c r="AK14" s="768"/>
      <c r="AL14" s="767" t="s">
        <v>255</v>
      </c>
      <c r="AM14" s="768"/>
      <c r="AN14" s="767" t="s">
        <v>257</v>
      </c>
      <c r="AO14" s="768"/>
      <c r="AP14" s="767" t="s">
        <v>19</v>
      </c>
      <c r="AQ14" s="773"/>
      <c r="AR14" s="768"/>
      <c r="AS14" s="776" t="s">
        <v>244</v>
      </c>
      <c r="AT14" s="779" t="s">
        <v>50</v>
      </c>
    </row>
    <row r="15" spans="1:47" x14ac:dyDescent="0.25">
      <c r="A15" s="562"/>
      <c r="B15" s="785"/>
      <c r="C15" s="786"/>
      <c r="D15" s="787"/>
      <c r="E15" s="792"/>
      <c r="F15" s="769"/>
      <c r="G15" s="774"/>
      <c r="H15" s="769"/>
      <c r="I15" s="770"/>
      <c r="J15" s="769"/>
      <c r="K15" s="770"/>
      <c r="L15" s="769"/>
      <c r="M15" s="770"/>
      <c r="N15" s="769"/>
      <c r="O15" s="770"/>
      <c r="P15" s="769"/>
      <c r="Q15" s="774"/>
      <c r="R15" s="774"/>
      <c r="S15" s="770"/>
      <c r="T15" s="769"/>
      <c r="U15" s="770"/>
      <c r="V15" s="769"/>
      <c r="W15" s="770"/>
      <c r="X15" s="769"/>
      <c r="Y15" s="770"/>
      <c r="Z15" s="769"/>
      <c r="AA15" s="770"/>
      <c r="AB15" s="769"/>
      <c r="AC15" s="770"/>
      <c r="AD15" s="769"/>
      <c r="AE15" s="770"/>
      <c r="AF15" s="769"/>
      <c r="AG15" s="770"/>
      <c r="AH15" s="769"/>
      <c r="AI15" s="770"/>
      <c r="AJ15" s="769"/>
      <c r="AK15" s="770"/>
      <c r="AL15" s="769"/>
      <c r="AM15" s="770"/>
      <c r="AN15" s="769"/>
      <c r="AO15" s="770"/>
      <c r="AP15" s="769"/>
      <c r="AQ15" s="774"/>
      <c r="AR15" s="770"/>
      <c r="AS15" s="777"/>
      <c r="AT15" s="780"/>
    </row>
    <row r="16" spans="1:47" x14ac:dyDescent="0.25">
      <c r="A16" s="562"/>
      <c r="B16" s="788"/>
      <c r="C16" s="789"/>
      <c r="D16" s="790"/>
      <c r="E16" s="793"/>
      <c r="F16" s="771"/>
      <c r="G16" s="775"/>
      <c r="H16" s="771"/>
      <c r="I16" s="772"/>
      <c r="J16" s="771"/>
      <c r="K16" s="772"/>
      <c r="L16" s="771"/>
      <c r="M16" s="772"/>
      <c r="N16" s="771"/>
      <c r="O16" s="772"/>
      <c r="P16" s="771"/>
      <c r="Q16" s="775"/>
      <c r="R16" s="775"/>
      <c r="S16" s="772"/>
      <c r="T16" s="771"/>
      <c r="U16" s="772"/>
      <c r="V16" s="771"/>
      <c r="W16" s="772"/>
      <c r="X16" s="771"/>
      <c r="Y16" s="772"/>
      <c r="Z16" s="771"/>
      <c r="AA16" s="772"/>
      <c r="AB16" s="771"/>
      <c r="AC16" s="772"/>
      <c r="AD16" s="771"/>
      <c r="AE16" s="772"/>
      <c r="AF16" s="771"/>
      <c r="AG16" s="772"/>
      <c r="AH16" s="771"/>
      <c r="AI16" s="772"/>
      <c r="AJ16" s="771"/>
      <c r="AK16" s="772"/>
      <c r="AL16" s="771"/>
      <c r="AM16" s="772"/>
      <c r="AN16" s="771"/>
      <c r="AO16" s="772"/>
      <c r="AP16" s="771"/>
      <c r="AQ16" s="775"/>
      <c r="AR16" s="772"/>
      <c r="AS16" s="778"/>
      <c r="AT16" s="781"/>
    </row>
    <row r="17" spans="1:46" ht="45" x14ac:dyDescent="0.25">
      <c r="A17" s="390"/>
      <c r="B17" s="434" t="s">
        <v>227</v>
      </c>
      <c r="C17" s="449" t="s">
        <v>228</v>
      </c>
      <c r="D17" s="449" t="s">
        <v>229</v>
      </c>
      <c r="E17" s="450" t="s">
        <v>40</v>
      </c>
      <c r="F17" s="450" t="s">
        <v>25</v>
      </c>
      <c r="G17" s="450" t="s">
        <v>26</v>
      </c>
      <c r="H17" s="30" t="s">
        <v>27</v>
      </c>
      <c r="I17" s="450" t="s">
        <v>26</v>
      </c>
      <c r="J17" s="450" t="s">
        <v>36</v>
      </c>
      <c r="K17" s="450" t="s">
        <v>26</v>
      </c>
      <c r="L17" s="450" t="s">
        <v>25</v>
      </c>
      <c r="M17" s="450" t="s">
        <v>26</v>
      </c>
      <c r="N17" s="450" t="s">
        <v>258</v>
      </c>
      <c r="O17" s="450" t="s">
        <v>26</v>
      </c>
      <c r="P17" s="450" t="s">
        <v>246</v>
      </c>
      <c r="Q17" s="450" t="s">
        <v>26</v>
      </c>
      <c r="R17" s="450" t="s">
        <v>245</v>
      </c>
      <c r="S17" s="450" t="s">
        <v>26</v>
      </c>
      <c r="T17" s="450" t="s">
        <v>36</v>
      </c>
      <c r="U17" s="450" t="s">
        <v>26</v>
      </c>
      <c r="V17" s="30" t="s">
        <v>28</v>
      </c>
      <c r="W17" s="450" t="s">
        <v>26</v>
      </c>
      <c r="X17" s="30" t="s">
        <v>28</v>
      </c>
      <c r="Y17" s="450" t="s">
        <v>26</v>
      </c>
      <c r="Z17" s="30" t="s">
        <v>28</v>
      </c>
      <c r="AA17" s="450" t="s">
        <v>26</v>
      </c>
      <c r="AB17" s="450" t="s">
        <v>28</v>
      </c>
      <c r="AC17" s="450" t="s">
        <v>26</v>
      </c>
      <c r="AD17" s="450" t="s">
        <v>28</v>
      </c>
      <c r="AE17" s="450" t="s">
        <v>26</v>
      </c>
      <c r="AF17" s="450" t="s">
        <v>25</v>
      </c>
      <c r="AG17" s="450" t="s">
        <v>26</v>
      </c>
      <c r="AH17" s="30" t="s">
        <v>29</v>
      </c>
      <c r="AI17" s="450" t="s">
        <v>26</v>
      </c>
      <c r="AJ17" s="450" t="s">
        <v>25</v>
      </c>
      <c r="AK17" s="450" t="s">
        <v>26</v>
      </c>
      <c r="AL17" s="450" t="s">
        <v>256</v>
      </c>
      <c r="AM17" s="450" t="s">
        <v>26</v>
      </c>
      <c r="AN17" s="450" t="s">
        <v>25</v>
      </c>
      <c r="AO17" s="450" t="s">
        <v>26</v>
      </c>
      <c r="AP17" s="450"/>
      <c r="AQ17" s="450" t="s">
        <v>25</v>
      </c>
      <c r="AR17" s="450" t="s">
        <v>26</v>
      </c>
      <c r="AS17" s="450"/>
      <c r="AT17" s="451" t="s">
        <v>26</v>
      </c>
    </row>
    <row r="18" spans="1:46" x14ac:dyDescent="0.25">
      <c r="A18" s="455">
        <v>1</v>
      </c>
      <c r="B18" s="456" t="s">
        <v>266</v>
      </c>
      <c r="C18" s="457">
        <v>35</v>
      </c>
      <c r="D18" s="458"/>
      <c r="E18" s="421">
        <v>9050</v>
      </c>
      <c r="F18" s="421">
        <v>500</v>
      </c>
      <c r="G18" s="459">
        <v>296390.44</v>
      </c>
      <c r="H18" s="460">
        <v>0</v>
      </c>
      <c r="I18" s="461">
        <v>0</v>
      </c>
      <c r="J18" s="421">
        <v>120</v>
      </c>
      <c r="K18" s="459">
        <v>119926</v>
      </c>
      <c r="L18" s="421">
        <v>3000</v>
      </c>
      <c r="M18" s="459">
        <v>919007.56</v>
      </c>
      <c r="N18" s="421">
        <v>0</v>
      </c>
      <c r="O18" s="421">
        <v>0</v>
      </c>
      <c r="P18" s="421">
        <v>0</v>
      </c>
      <c r="Q18" s="461">
        <v>0</v>
      </c>
      <c r="R18" s="421">
        <v>0</v>
      </c>
      <c r="S18" s="461">
        <v>0</v>
      </c>
      <c r="T18" s="421">
        <v>150</v>
      </c>
      <c r="U18" s="459">
        <v>230818.51</v>
      </c>
      <c r="V18" s="460">
        <v>0</v>
      </c>
      <c r="W18" s="461">
        <v>0</v>
      </c>
      <c r="X18" s="460">
        <v>0</v>
      </c>
      <c r="Y18" s="461">
        <v>0</v>
      </c>
      <c r="Z18" s="460">
        <v>1</v>
      </c>
      <c r="AA18" s="459">
        <v>155647.57999999999</v>
      </c>
      <c r="AB18" s="421">
        <v>0</v>
      </c>
      <c r="AC18" s="421">
        <v>0</v>
      </c>
      <c r="AD18" s="421">
        <v>0</v>
      </c>
      <c r="AE18" s="421">
        <v>0</v>
      </c>
      <c r="AF18" s="421">
        <v>0</v>
      </c>
      <c r="AG18" s="461">
        <v>0</v>
      </c>
      <c r="AH18" s="460">
        <v>18</v>
      </c>
      <c r="AI18" s="459">
        <v>181626.12</v>
      </c>
      <c r="AJ18" s="421">
        <v>112</v>
      </c>
      <c r="AK18" s="459">
        <v>250995.16</v>
      </c>
      <c r="AL18" s="421">
        <v>0</v>
      </c>
      <c r="AM18" s="421">
        <v>0</v>
      </c>
      <c r="AN18" s="421">
        <v>0</v>
      </c>
      <c r="AO18" s="421">
        <v>0</v>
      </c>
      <c r="AP18" s="421">
        <v>0</v>
      </c>
      <c r="AQ18" s="421">
        <v>0</v>
      </c>
      <c r="AR18" s="461">
        <v>0</v>
      </c>
      <c r="AS18" s="421"/>
      <c r="AT18" s="459">
        <f>AK18+AI18+AA18+U18+M18</f>
        <v>1738094.9300000002</v>
      </c>
    </row>
    <row r="19" spans="1:46" x14ac:dyDescent="0.25">
      <c r="A19" s="455">
        <v>2</v>
      </c>
      <c r="B19" s="456" t="s">
        <v>226</v>
      </c>
      <c r="C19" s="457">
        <v>33</v>
      </c>
      <c r="D19" s="458"/>
      <c r="E19" s="421">
        <v>14296</v>
      </c>
      <c r="F19" s="421">
        <v>500</v>
      </c>
      <c r="G19" s="459">
        <v>296390.44</v>
      </c>
      <c r="H19" s="460">
        <v>0</v>
      </c>
      <c r="I19" s="461">
        <v>0</v>
      </c>
      <c r="J19" s="421">
        <v>110</v>
      </c>
      <c r="K19" s="459">
        <v>109932.18</v>
      </c>
      <c r="L19" s="421">
        <v>300</v>
      </c>
      <c r="M19" s="459">
        <v>91900.82</v>
      </c>
      <c r="N19" s="421">
        <v>0</v>
      </c>
      <c r="O19" s="421">
        <v>0</v>
      </c>
      <c r="P19" s="421">
        <v>0</v>
      </c>
      <c r="Q19" s="461">
        <v>0</v>
      </c>
      <c r="R19" s="421">
        <v>0</v>
      </c>
      <c r="S19" s="461">
        <v>0</v>
      </c>
      <c r="T19" s="421">
        <v>100</v>
      </c>
      <c r="U19" s="459">
        <v>153878.96</v>
      </c>
      <c r="V19" s="460">
        <v>0</v>
      </c>
      <c r="W19" s="461">
        <v>0</v>
      </c>
      <c r="X19" s="460">
        <v>0</v>
      </c>
      <c r="Y19" s="461">
        <v>0</v>
      </c>
      <c r="Z19" s="460">
        <v>1</v>
      </c>
      <c r="AA19" s="459">
        <v>692723.35</v>
      </c>
      <c r="AB19" s="421">
        <v>0</v>
      </c>
      <c r="AC19" s="421">
        <v>0</v>
      </c>
      <c r="AD19" s="421">
        <v>0</v>
      </c>
      <c r="AE19" s="421">
        <v>0</v>
      </c>
      <c r="AF19" s="421">
        <v>0</v>
      </c>
      <c r="AG19" s="461">
        <v>0</v>
      </c>
      <c r="AH19" s="460">
        <v>18</v>
      </c>
      <c r="AI19" s="459">
        <v>191191.29</v>
      </c>
      <c r="AJ19" s="421">
        <v>170</v>
      </c>
      <c r="AK19" s="459">
        <v>343101.64</v>
      </c>
      <c r="AL19" s="421">
        <v>0</v>
      </c>
      <c r="AM19" s="421">
        <v>0</v>
      </c>
      <c r="AN19" s="421">
        <v>0</v>
      </c>
      <c r="AO19" s="421">
        <v>0</v>
      </c>
      <c r="AP19" s="421">
        <v>0</v>
      </c>
      <c r="AQ19" s="421">
        <v>0</v>
      </c>
      <c r="AR19" s="461">
        <v>0</v>
      </c>
      <c r="AS19" s="421"/>
      <c r="AT19" s="459">
        <f>AK19+AI19+AA19+U19+M19</f>
        <v>1472796.06</v>
      </c>
    </row>
    <row r="20" spans="1:46" x14ac:dyDescent="0.25">
      <c r="A20" s="455">
        <v>3</v>
      </c>
      <c r="B20" s="456" t="s">
        <v>226</v>
      </c>
      <c r="C20" s="457">
        <v>27</v>
      </c>
      <c r="D20" s="457"/>
      <c r="E20" s="421">
        <v>7960</v>
      </c>
      <c r="F20" s="421">
        <v>600</v>
      </c>
      <c r="G20" s="459">
        <v>355668.53</v>
      </c>
      <c r="H20" s="460">
        <v>0</v>
      </c>
      <c r="I20" s="461">
        <f t="shared" ref="I20:I25" si="0">H20*27000</f>
        <v>0</v>
      </c>
      <c r="J20" s="421">
        <v>0</v>
      </c>
      <c r="K20" s="461">
        <f t="shared" ref="K20:K39" si="1">J20*985</f>
        <v>0</v>
      </c>
      <c r="L20" s="421">
        <v>1500</v>
      </c>
      <c r="M20" s="459">
        <v>459503.8</v>
      </c>
      <c r="N20" s="421">
        <v>0</v>
      </c>
      <c r="O20" s="421">
        <v>0</v>
      </c>
      <c r="P20" s="421">
        <v>50.4</v>
      </c>
      <c r="Q20" s="459">
        <v>98324.08</v>
      </c>
      <c r="R20" s="421">
        <v>0</v>
      </c>
      <c r="S20" s="461">
        <v>0</v>
      </c>
      <c r="T20" s="421">
        <v>100</v>
      </c>
      <c r="U20" s="459">
        <v>151071.07999999999</v>
      </c>
      <c r="V20" s="460">
        <v>1</v>
      </c>
      <c r="W20" s="459">
        <v>110904.08</v>
      </c>
      <c r="X20" s="460">
        <v>0</v>
      </c>
      <c r="Y20" s="461">
        <v>0</v>
      </c>
      <c r="Z20" s="460">
        <v>0</v>
      </c>
      <c r="AA20" s="461">
        <f t="shared" ref="AA20" si="2">Z20*500000</f>
        <v>0</v>
      </c>
      <c r="AB20" s="421">
        <v>0</v>
      </c>
      <c r="AC20" s="421">
        <v>0</v>
      </c>
      <c r="AD20" s="421">
        <v>0</v>
      </c>
      <c r="AE20" s="421">
        <v>0</v>
      </c>
      <c r="AF20" s="421">
        <v>0</v>
      </c>
      <c r="AG20" s="461">
        <v>0</v>
      </c>
      <c r="AH20" s="460">
        <v>0</v>
      </c>
      <c r="AI20" s="461">
        <v>0</v>
      </c>
      <c r="AJ20" s="421">
        <v>0</v>
      </c>
      <c r="AK20" s="421">
        <f t="shared" ref="AK20:AK39" si="3">AJ20*2000</f>
        <v>0</v>
      </c>
      <c r="AL20" s="421">
        <v>0</v>
      </c>
      <c r="AM20" s="421">
        <v>0</v>
      </c>
      <c r="AN20" s="421">
        <v>0</v>
      </c>
      <c r="AO20" s="421">
        <v>0</v>
      </c>
      <c r="AP20" s="421" t="s">
        <v>234</v>
      </c>
      <c r="AQ20" s="421">
        <v>10</v>
      </c>
      <c r="AR20" s="459">
        <v>39187.050000000003</v>
      </c>
      <c r="AS20" s="421"/>
      <c r="AT20" s="459">
        <f>AR20+W20+U20+M20</f>
        <v>760666.01</v>
      </c>
    </row>
    <row r="21" spans="1:46" ht="21" x14ac:dyDescent="0.25">
      <c r="A21" s="455">
        <v>4</v>
      </c>
      <c r="B21" s="456" t="s">
        <v>226</v>
      </c>
      <c r="C21" s="457">
        <v>17</v>
      </c>
      <c r="D21" s="462" t="s">
        <v>231</v>
      </c>
      <c r="E21" s="421">
        <v>6710</v>
      </c>
      <c r="F21" s="421">
        <v>500</v>
      </c>
      <c r="G21" s="459">
        <v>296390.44</v>
      </c>
      <c r="H21" s="460">
        <v>5</v>
      </c>
      <c r="I21" s="459">
        <v>152354.31</v>
      </c>
      <c r="J21" s="421">
        <v>152.5</v>
      </c>
      <c r="K21" s="459">
        <v>152206.9</v>
      </c>
      <c r="L21" s="421">
        <v>2500</v>
      </c>
      <c r="M21" s="459">
        <v>765839.66</v>
      </c>
      <c r="N21" s="421">
        <v>0</v>
      </c>
      <c r="O21" s="421">
        <v>0</v>
      </c>
      <c r="P21" s="421">
        <v>0</v>
      </c>
      <c r="Q21" s="461">
        <f t="shared" ref="Q21:Q39" si="4">P21*2000</f>
        <v>0</v>
      </c>
      <c r="R21" s="421">
        <v>0</v>
      </c>
      <c r="S21" s="461">
        <f t="shared" ref="S21:S23" si="5">P21*2000</f>
        <v>0</v>
      </c>
      <c r="T21" s="421">
        <v>120</v>
      </c>
      <c r="U21" s="459">
        <v>184654.78</v>
      </c>
      <c r="V21" s="460">
        <v>0</v>
      </c>
      <c r="W21" s="461">
        <f t="shared" ref="W21:W25" si="6">V21*75000</f>
        <v>0</v>
      </c>
      <c r="X21" s="460">
        <v>0</v>
      </c>
      <c r="Y21" s="461">
        <v>0</v>
      </c>
      <c r="Z21" s="460">
        <v>0</v>
      </c>
      <c r="AA21" s="461">
        <v>0</v>
      </c>
      <c r="AB21" s="421">
        <v>0</v>
      </c>
      <c r="AC21" s="421">
        <v>0</v>
      </c>
      <c r="AD21" s="421">
        <v>0</v>
      </c>
      <c r="AE21" s="421">
        <v>0</v>
      </c>
      <c r="AF21" s="421">
        <v>0</v>
      </c>
      <c r="AG21" s="461">
        <v>0</v>
      </c>
      <c r="AH21" s="460">
        <v>16</v>
      </c>
      <c r="AI21" s="459">
        <v>123864.19</v>
      </c>
      <c r="AJ21" s="421">
        <v>0</v>
      </c>
      <c r="AK21" s="421">
        <f t="shared" si="3"/>
        <v>0</v>
      </c>
      <c r="AL21" s="421">
        <v>0</v>
      </c>
      <c r="AM21" s="421">
        <v>0</v>
      </c>
      <c r="AN21" s="421">
        <v>0</v>
      </c>
      <c r="AO21" s="421">
        <v>0</v>
      </c>
      <c r="AP21" s="421">
        <v>0</v>
      </c>
      <c r="AQ21" s="421">
        <v>0</v>
      </c>
      <c r="AR21" s="461">
        <f t="shared" ref="AR21:AR25" si="7">AQ21*2000</f>
        <v>0</v>
      </c>
      <c r="AS21" s="421"/>
      <c r="AT21" s="459">
        <f>AI21+U21+M21</f>
        <v>1074358.6299999999</v>
      </c>
    </row>
    <row r="22" spans="1:46" ht="21" x14ac:dyDescent="0.25">
      <c r="A22" s="455">
        <v>5</v>
      </c>
      <c r="B22" s="456" t="s">
        <v>226</v>
      </c>
      <c r="C22" s="457">
        <v>15</v>
      </c>
      <c r="D22" s="462" t="s">
        <v>231</v>
      </c>
      <c r="E22" s="421">
        <v>6933</v>
      </c>
      <c r="F22" s="421">
        <v>500</v>
      </c>
      <c r="G22" s="459">
        <v>296390.44</v>
      </c>
      <c r="H22" s="460">
        <v>0</v>
      </c>
      <c r="I22" s="461">
        <f t="shared" si="0"/>
        <v>0</v>
      </c>
      <c r="J22" s="421">
        <v>100</v>
      </c>
      <c r="K22" s="459">
        <v>99938.35</v>
      </c>
      <c r="L22" s="421">
        <v>2500</v>
      </c>
      <c r="M22" s="459">
        <v>765839.66</v>
      </c>
      <c r="N22" s="421">
        <v>0</v>
      </c>
      <c r="O22" s="421">
        <v>0</v>
      </c>
      <c r="P22" s="421">
        <v>0</v>
      </c>
      <c r="Q22" s="461">
        <f t="shared" si="4"/>
        <v>0</v>
      </c>
      <c r="R22" s="421">
        <v>0</v>
      </c>
      <c r="S22" s="461">
        <f t="shared" si="5"/>
        <v>0</v>
      </c>
      <c r="T22" s="421">
        <v>110</v>
      </c>
      <c r="U22" s="459">
        <v>166178.22</v>
      </c>
      <c r="V22" s="460">
        <v>1</v>
      </c>
      <c r="W22" s="459">
        <v>109979.76</v>
      </c>
      <c r="X22" s="460">
        <v>0</v>
      </c>
      <c r="Y22" s="461">
        <v>0</v>
      </c>
      <c r="Z22" s="460">
        <v>0</v>
      </c>
      <c r="AA22" s="461">
        <v>0</v>
      </c>
      <c r="AB22" s="421">
        <v>0</v>
      </c>
      <c r="AC22" s="421">
        <v>0</v>
      </c>
      <c r="AD22" s="421">
        <v>0</v>
      </c>
      <c r="AE22" s="421">
        <v>0</v>
      </c>
      <c r="AF22" s="421">
        <v>0</v>
      </c>
      <c r="AG22" s="461">
        <v>0</v>
      </c>
      <c r="AH22" s="460">
        <v>16</v>
      </c>
      <c r="AI22" s="459">
        <v>123864.19</v>
      </c>
      <c r="AJ22" s="421">
        <v>0</v>
      </c>
      <c r="AK22" s="421">
        <v>0</v>
      </c>
      <c r="AL22" s="421">
        <v>0</v>
      </c>
      <c r="AM22" s="421">
        <v>0</v>
      </c>
      <c r="AN22" s="421">
        <v>0</v>
      </c>
      <c r="AO22" s="421">
        <v>0</v>
      </c>
      <c r="AP22" s="421">
        <v>0</v>
      </c>
      <c r="AQ22" s="421">
        <v>0</v>
      </c>
      <c r="AR22" s="461">
        <f t="shared" si="7"/>
        <v>0</v>
      </c>
      <c r="AS22" s="421"/>
      <c r="AT22" s="459">
        <f>AI22+W22+U22+M22</f>
        <v>1165861.83</v>
      </c>
    </row>
    <row r="23" spans="1:46" ht="21" x14ac:dyDescent="0.25">
      <c r="A23" s="455">
        <v>6</v>
      </c>
      <c r="B23" s="456" t="s">
        <v>226</v>
      </c>
      <c r="C23" s="457">
        <v>13</v>
      </c>
      <c r="D23" s="462" t="s">
        <v>231</v>
      </c>
      <c r="E23" s="421">
        <v>7294</v>
      </c>
      <c r="F23" s="421">
        <v>500</v>
      </c>
      <c r="G23" s="459">
        <v>296390.44</v>
      </c>
      <c r="H23" s="460">
        <v>0</v>
      </c>
      <c r="I23" s="461">
        <f t="shared" si="0"/>
        <v>0</v>
      </c>
      <c r="J23" s="421">
        <v>100</v>
      </c>
      <c r="K23" s="459">
        <v>99938.35</v>
      </c>
      <c r="L23" s="421">
        <v>2500</v>
      </c>
      <c r="M23" s="459">
        <v>765839.66</v>
      </c>
      <c r="N23" s="421">
        <v>0</v>
      </c>
      <c r="O23" s="421">
        <v>0</v>
      </c>
      <c r="P23" s="421">
        <v>0</v>
      </c>
      <c r="Q23" s="461">
        <f t="shared" si="4"/>
        <v>0</v>
      </c>
      <c r="R23" s="421">
        <v>0</v>
      </c>
      <c r="S23" s="461">
        <f t="shared" si="5"/>
        <v>0</v>
      </c>
      <c r="T23" s="421">
        <v>110</v>
      </c>
      <c r="U23" s="459">
        <v>166178.22</v>
      </c>
      <c r="V23" s="460">
        <v>1</v>
      </c>
      <c r="W23" s="459">
        <v>109140.08</v>
      </c>
      <c r="X23" s="460">
        <v>0</v>
      </c>
      <c r="Y23" s="461">
        <v>0</v>
      </c>
      <c r="Z23" s="460">
        <v>0</v>
      </c>
      <c r="AA23" s="461">
        <v>0</v>
      </c>
      <c r="AB23" s="421">
        <v>0</v>
      </c>
      <c r="AC23" s="421">
        <v>0</v>
      </c>
      <c r="AD23" s="421">
        <v>0</v>
      </c>
      <c r="AE23" s="421">
        <v>0</v>
      </c>
      <c r="AF23" s="421">
        <v>0</v>
      </c>
      <c r="AG23" s="461">
        <v>0</v>
      </c>
      <c r="AH23" s="460">
        <v>16</v>
      </c>
      <c r="AI23" s="459">
        <v>123864.19</v>
      </c>
      <c r="AJ23" s="421">
        <v>0</v>
      </c>
      <c r="AK23" s="421">
        <f t="shared" si="3"/>
        <v>0</v>
      </c>
      <c r="AL23" s="421">
        <v>0</v>
      </c>
      <c r="AM23" s="421">
        <v>0</v>
      </c>
      <c r="AN23" s="421">
        <v>0</v>
      </c>
      <c r="AO23" s="421">
        <v>0</v>
      </c>
      <c r="AP23" s="421">
        <v>0</v>
      </c>
      <c r="AQ23" s="421">
        <v>0</v>
      </c>
      <c r="AR23" s="461">
        <f t="shared" si="7"/>
        <v>0</v>
      </c>
      <c r="AS23" s="421"/>
      <c r="AT23" s="459">
        <f>AI23+W23+U23+M23</f>
        <v>1165022.1499999999</v>
      </c>
    </row>
    <row r="24" spans="1:46" ht="14.45" customHeight="1" x14ac:dyDescent="0.25">
      <c r="A24" s="455">
        <v>7</v>
      </c>
      <c r="B24" s="456" t="s">
        <v>119</v>
      </c>
      <c r="C24" s="457">
        <v>21</v>
      </c>
      <c r="D24" s="457">
        <v>1</v>
      </c>
      <c r="E24" s="421">
        <v>4988</v>
      </c>
      <c r="F24" s="421">
        <v>500</v>
      </c>
      <c r="G24" s="459">
        <v>296390.44</v>
      </c>
      <c r="H24" s="460">
        <v>0</v>
      </c>
      <c r="I24" s="461">
        <f t="shared" si="0"/>
        <v>0</v>
      </c>
      <c r="J24" s="421">
        <v>100</v>
      </c>
      <c r="K24" s="459">
        <v>99938.35</v>
      </c>
      <c r="L24" s="421">
        <v>1800</v>
      </c>
      <c r="M24" s="463">
        <v>551404.56999999995</v>
      </c>
      <c r="N24" s="421">
        <v>0</v>
      </c>
      <c r="O24" s="421">
        <v>0</v>
      </c>
      <c r="P24" s="421">
        <v>0</v>
      </c>
      <c r="Q24" s="461">
        <f t="shared" si="4"/>
        <v>0</v>
      </c>
      <c r="R24" s="421">
        <v>120</v>
      </c>
      <c r="S24" s="459">
        <v>277508.90999999997</v>
      </c>
      <c r="T24" s="421">
        <v>0</v>
      </c>
      <c r="U24" s="461">
        <f t="shared" ref="U24:U38" si="8">T24*1300</f>
        <v>0</v>
      </c>
      <c r="V24" s="460">
        <v>0</v>
      </c>
      <c r="W24" s="461">
        <f t="shared" si="6"/>
        <v>0</v>
      </c>
      <c r="X24" s="460">
        <v>0</v>
      </c>
      <c r="Y24" s="461">
        <v>0</v>
      </c>
      <c r="Z24" s="460">
        <v>0</v>
      </c>
      <c r="AA24" s="461">
        <v>0</v>
      </c>
      <c r="AB24" s="421">
        <v>0</v>
      </c>
      <c r="AC24" s="421">
        <v>0</v>
      </c>
      <c r="AD24" s="421">
        <v>0</v>
      </c>
      <c r="AE24" s="421">
        <v>0</v>
      </c>
      <c r="AF24" s="421">
        <v>0</v>
      </c>
      <c r="AG24" s="461">
        <v>0</v>
      </c>
      <c r="AH24" s="460">
        <v>0</v>
      </c>
      <c r="AI24" s="461">
        <v>0</v>
      </c>
      <c r="AJ24" s="421">
        <v>0</v>
      </c>
      <c r="AK24" s="421">
        <f t="shared" si="3"/>
        <v>0</v>
      </c>
      <c r="AL24" s="421">
        <v>0</v>
      </c>
      <c r="AM24" s="421">
        <v>0</v>
      </c>
      <c r="AN24" s="421">
        <v>0</v>
      </c>
      <c r="AO24" s="421">
        <v>0</v>
      </c>
      <c r="AP24" s="421">
        <v>0</v>
      </c>
      <c r="AQ24" s="421">
        <v>0</v>
      </c>
      <c r="AR24" s="461">
        <f t="shared" si="7"/>
        <v>0</v>
      </c>
      <c r="AS24" s="421"/>
      <c r="AT24" s="459">
        <f>M24</f>
        <v>551404.56999999995</v>
      </c>
    </row>
    <row r="25" spans="1:46" ht="16.149999999999999" customHeight="1" x14ac:dyDescent="0.25">
      <c r="A25" s="455">
        <v>8</v>
      </c>
      <c r="B25" s="456" t="s">
        <v>119</v>
      </c>
      <c r="C25" s="457">
        <v>21</v>
      </c>
      <c r="D25" s="457">
        <v>2</v>
      </c>
      <c r="E25" s="421">
        <v>5714</v>
      </c>
      <c r="F25" s="421">
        <v>500</v>
      </c>
      <c r="G25" s="459">
        <v>296390.44</v>
      </c>
      <c r="H25" s="460">
        <v>0</v>
      </c>
      <c r="I25" s="461">
        <f t="shared" si="0"/>
        <v>0</v>
      </c>
      <c r="J25" s="421">
        <v>100</v>
      </c>
      <c r="K25" s="459">
        <v>99938.35</v>
      </c>
      <c r="L25" s="421">
        <v>2000</v>
      </c>
      <c r="M25" s="459">
        <v>612671.69999999995</v>
      </c>
      <c r="N25" s="421">
        <v>0</v>
      </c>
      <c r="O25" s="421">
        <v>0</v>
      </c>
      <c r="P25" s="421">
        <v>0</v>
      </c>
      <c r="Q25" s="461">
        <f t="shared" si="4"/>
        <v>0</v>
      </c>
      <c r="R25" s="421">
        <v>0</v>
      </c>
      <c r="S25" s="461">
        <v>0</v>
      </c>
      <c r="T25" s="421">
        <v>100</v>
      </c>
      <c r="U25" s="459">
        <v>161071.07</v>
      </c>
      <c r="V25" s="460">
        <v>0</v>
      </c>
      <c r="W25" s="461">
        <f t="shared" si="6"/>
        <v>0</v>
      </c>
      <c r="X25" s="460">
        <v>0</v>
      </c>
      <c r="Y25" s="461">
        <v>0</v>
      </c>
      <c r="Z25" s="460">
        <v>0</v>
      </c>
      <c r="AA25" s="461">
        <v>0</v>
      </c>
      <c r="AB25" s="421">
        <v>0</v>
      </c>
      <c r="AC25" s="421">
        <v>0</v>
      </c>
      <c r="AD25" s="421">
        <v>0</v>
      </c>
      <c r="AE25" s="421">
        <v>0</v>
      </c>
      <c r="AF25" s="421">
        <v>0</v>
      </c>
      <c r="AG25" s="461">
        <v>0</v>
      </c>
      <c r="AH25" s="460">
        <v>0</v>
      </c>
      <c r="AI25" s="461">
        <v>0</v>
      </c>
      <c r="AJ25" s="421">
        <v>0</v>
      </c>
      <c r="AK25" s="421">
        <f t="shared" si="3"/>
        <v>0</v>
      </c>
      <c r="AL25" s="421">
        <v>0</v>
      </c>
      <c r="AM25" s="421">
        <v>0</v>
      </c>
      <c r="AN25" s="421">
        <v>0</v>
      </c>
      <c r="AO25" s="421">
        <v>0</v>
      </c>
      <c r="AP25" s="421">
        <v>0</v>
      </c>
      <c r="AQ25" s="421">
        <v>0</v>
      </c>
      <c r="AR25" s="461">
        <f t="shared" si="7"/>
        <v>0</v>
      </c>
      <c r="AS25" s="421"/>
      <c r="AT25" s="459">
        <f>U25+M25</f>
        <v>773742.77</v>
      </c>
    </row>
    <row r="26" spans="1:46" ht="14.45" customHeight="1" x14ac:dyDescent="0.25">
      <c r="A26" s="455">
        <v>9</v>
      </c>
      <c r="B26" s="456" t="s">
        <v>121</v>
      </c>
      <c r="C26" s="457">
        <v>43</v>
      </c>
      <c r="D26" s="457">
        <v>3</v>
      </c>
      <c r="E26" s="421">
        <v>8938</v>
      </c>
      <c r="F26" s="421">
        <v>600</v>
      </c>
      <c r="G26" s="459">
        <v>355668.53</v>
      </c>
      <c r="H26" s="460">
        <v>0</v>
      </c>
      <c r="I26" s="461">
        <v>0</v>
      </c>
      <c r="J26" s="421">
        <v>0</v>
      </c>
      <c r="K26" s="461">
        <f t="shared" si="1"/>
        <v>0</v>
      </c>
      <c r="L26" s="421">
        <v>2200</v>
      </c>
      <c r="M26" s="459">
        <v>673938.91</v>
      </c>
      <c r="N26" s="421">
        <v>400</v>
      </c>
      <c r="O26" s="459">
        <v>1410833.71</v>
      </c>
      <c r="P26" s="421">
        <v>310</v>
      </c>
      <c r="Q26" s="459">
        <v>379327.52</v>
      </c>
      <c r="R26" s="421">
        <v>0</v>
      </c>
      <c r="S26" s="461">
        <v>0</v>
      </c>
      <c r="T26" s="421">
        <v>300</v>
      </c>
      <c r="U26" s="459">
        <v>453213.25</v>
      </c>
      <c r="V26" s="460">
        <v>0</v>
      </c>
      <c r="W26" s="461">
        <v>0</v>
      </c>
      <c r="X26" s="460">
        <v>0</v>
      </c>
      <c r="Y26" s="461">
        <v>0</v>
      </c>
      <c r="Z26" s="460">
        <v>1</v>
      </c>
      <c r="AA26" s="459">
        <v>159851.51999999999</v>
      </c>
      <c r="AB26" s="460">
        <v>0</v>
      </c>
      <c r="AC26" s="421">
        <f>AB26*1800</f>
        <v>0</v>
      </c>
      <c r="AD26" s="460">
        <v>0</v>
      </c>
      <c r="AE26" s="421">
        <v>0</v>
      </c>
      <c r="AF26" s="421">
        <v>0</v>
      </c>
      <c r="AG26" s="461">
        <v>0</v>
      </c>
      <c r="AH26" s="460">
        <v>7</v>
      </c>
      <c r="AI26" s="459">
        <v>68607.759999999995</v>
      </c>
      <c r="AJ26" s="421">
        <v>130</v>
      </c>
      <c r="AK26" s="459">
        <v>313925.68</v>
      </c>
      <c r="AL26" s="421">
        <v>0</v>
      </c>
      <c r="AM26" s="421">
        <v>0</v>
      </c>
      <c r="AN26" s="421">
        <v>0</v>
      </c>
      <c r="AO26" s="421">
        <v>0</v>
      </c>
      <c r="AP26" s="421" t="s">
        <v>233</v>
      </c>
      <c r="AQ26" s="421">
        <v>10</v>
      </c>
      <c r="AR26" s="459">
        <v>39187.040000000001</v>
      </c>
      <c r="AS26" s="421"/>
      <c r="AT26" s="459">
        <f>AR26+AK26+AI26+AA26+U26+O26+M26</f>
        <v>3119557.87</v>
      </c>
    </row>
    <row r="27" spans="1:46" ht="14.45" customHeight="1" x14ac:dyDescent="0.25">
      <c r="A27" s="455">
        <v>10</v>
      </c>
      <c r="B27" s="456" t="s">
        <v>121</v>
      </c>
      <c r="C27" s="457">
        <v>35</v>
      </c>
      <c r="D27" s="457"/>
      <c r="E27" s="421">
        <v>6681</v>
      </c>
      <c r="F27" s="421">
        <v>500</v>
      </c>
      <c r="G27" s="459">
        <v>296390.44</v>
      </c>
      <c r="H27" s="460">
        <v>0</v>
      </c>
      <c r="I27" s="461">
        <v>0</v>
      </c>
      <c r="J27" s="421">
        <v>0</v>
      </c>
      <c r="K27" s="461">
        <f t="shared" si="1"/>
        <v>0</v>
      </c>
      <c r="L27" s="421">
        <v>2500</v>
      </c>
      <c r="M27" s="459">
        <v>765839.66</v>
      </c>
      <c r="N27" s="421">
        <v>0</v>
      </c>
      <c r="O27" s="421">
        <f t="shared" ref="O27:O39" si="9">N27*2383</f>
        <v>0</v>
      </c>
      <c r="P27" s="421">
        <v>120</v>
      </c>
      <c r="Q27" s="459">
        <v>234104.86</v>
      </c>
      <c r="R27" s="421">
        <v>0</v>
      </c>
      <c r="S27" s="461">
        <v>0</v>
      </c>
      <c r="T27" s="421">
        <v>120</v>
      </c>
      <c r="U27" s="459">
        <v>181285.31</v>
      </c>
      <c r="V27" s="460">
        <v>0</v>
      </c>
      <c r="W27" s="461">
        <v>0</v>
      </c>
      <c r="X27" s="460">
        <v>0</v>
      </c>
      <c r="Y27" s="461">
        <v>0</v>
      </c>
      <c r="Z27" s="460">
        <v>0</v>
      </c>
      <c r="AA27" s="461">
        <v>0</v>
      </c>
      <c r="AB27" s="460">
        <v>0</v>
      </c>
      <c r="AC27" s="421">
        <f>AB27*1800</f>
        <v>0</v>
      </c>
      <c r="AD27" s="460">
        <v>0</v>
      </c>
      <c r="AE27" s="421">
        <f t="shared" ref="AE27:AE39" si="10">AD27*8000</f>
        <v>0</v>
      </c>
      <c r="AF27" s="421">
        <v>0</v>
      </c>
      <c r="AG27" s="461">
        <v>0</v>
      </c>
      <c r="AH27" s="460">
        <v>6</v>
      </c>
      <c r="AI27" s="459">
        <v>46449.07</v>
      </c>
      <c r="AJ27" s="421">
        <v>0</v>
      </c>
      <c r="AK27" s="421">
        <v>0</v>
      </c>
      <c r="AL27" s="421">
        <v>0</v>
      </c>
      <c r="AM27" s="421">
        <v>0</v>
      </c>
      <c r="AN27" s="421">
        <v>0</v>
      </c>
      <c r="AO27" s="421">
        <v>0</v>
      </c>
      <c r="AP27" s="421">
        <v>0</v>
      </c>
      <c r="AQ27" s="421">
        <v>0</v>
      </c>
      <c r="AR27" s="461">
        <f t="shared" ref="AR27:AR39" si="11">AQ27*2000</f>
        <v>0</v>
      </c>
      <c r="AS27" s="421"/>
      <c r="AT27" s="459">
        <f>AI27+U27+M27</f>
        <v>993574.04</v>
      </c>
    </row>
    <row r="28" spans="1:46" ht="15" customHeight="1" x14ac:dyDescent="0.25">
      <c r="A28" s="455">
        <v>11</v>
      </c>
      <c r="B28" s="456" t="s">
        <v>121</v>
      </c>
      <c r="C28" s="457">
        <v>37</v>
      </c>
      <c r="D28" s="457"/>
      <c r="E28" s="421">
        <v>6511</v>
      </c>
      <c r="F28" s="421">
        <v>500</v>
      </c>
      <c r="G28" s="459">
        <v>296390.44</v>
      </c>
      <c r="H28" s="460">
        <v>0</v>
      </c>
      <c r="I28" s="461">
        <v>0</v>
      </c>
      <c r="J28" s="421">
        <v>0</v>
      </c>
      <c r="K28" s="461">
        <f t="shared" si="1"/>
        <v>0</v>
      </c>
      <c r="L28" s="421">
        <v>2500</v>
      </c>
      <c r="M28" s="459">
        <v>765839.66</v>
      </c>
      <c r="N28" s="421">
        <v>0</v>
      </c>
      <c r="O28" s="421">
        <f t="shared" si="9"/>
        <v>0</v>
      </c>
      <c r="P28" s="421">
        <v>0</v>
      </c>
      <c r="Q28" s="461">
        <f t="shared" si="4"/>
        <v>0</v>
      </c>
      <c r="R28" s="421">
        <v>0</v>
      </c>
      <c r="S28" s="461">
        <v>0</v>
      </c>
      <c r="T28" s="421">
        <v>110</v>
      </c>
      <c r="U28" s="459">
        <v>166178.22</v>
      </c>
      <c r="V28" s="460">
        <v>0</v>
      </c>
      <c r="W28" s="461">
        <v>0</v>
      </c>
      <c r="X28" s="460">
        <v>0</v>
      </c>
      <c r="Y28" s="461">
        <v>0</v>
      </c>
      <c r="Z28" s="460">
        <v>0</v>
      </c>
      <c r="AA28" s="461">
        <v>0</v>
      </c>
      <c r="AB28" s="460">
        <v>0</v>
      </c>
      <c r="AC28" s="421">
        <f t="shared" ref="AC28:AC39" si="12">AB28*1800</f>
        <v>0</v>
      </c>
      <c r="AD28" s="460">
        <v>0</v>
      </c>
      <c r="AE28" s="421">
        <f t="shared" si="10"/>
        <v>0</v>
      </c>
      <c r="AF28" s="421">
        <v>0</v>
      </c>
      <c r="AG28" s="461">
        <v>0</v>
      </c>
      <c r="AH28" s="460">
        <v>6</v>
      </c>
      <c r="AI28" s="459">
        <v>46449.07</v>
      </c>
      <c r="AJ28" s="421">
        <v>0</v>
      </c>
      <c r="AK28" s="421">
        <f t="shared" si="3"/>
        <v>0</v>
      </c>
      <c r="AL28" s="421">
        <v>0</v>
      </c>
      <c r="AM28" s="421">
        <v>0</v>
      </c>
      <c r="AN28" s="421">
        <v>0</v>
      </c>
      <c r="AO28" s="421">
        <v>0</v>
      </c>
      <c r="AP28" s="421" t="s">
        <v>233</v>
      </c>
      <c r="AQ28" s="421">
        <v>10</v>
      </c>
      <c r="AR28" s="459">
        <v>46071.33</v>
      </c>
      <c r="AS28" s="421"/>
      <c r="AT28" s="459">
        <f>AR28+AI28+U28+M28</f>
        <v>1024538.28</v>
      </c>
    </row>
    <row r="29" spans="1:46" ht="15" customHeight="1" x14ac:dyDescent="0.25">
      <c r="A29" s="455">
        <v>12</v>
      </c>
      <c r="B29" s="456" t="s">
        <v>121</v>
      </c>
      <c r="C29" s="457">
        <v>39</v>
      </c>
      <c r="D29" s="457"/>
      <c r="E29" s="421">
        <v>4150</v>
      </c>
      <c r="F29" s="421">
        <v>200</v>
      </c>
      <c r="G29" s="459">
        <v>118556.18</v>
      </c>
      <c r="H29" s="460">
        <v>0</v>
      </c>
      <c r="I29" s="461">
        <v>0</v>
      </c>
      <c r="J29" s="421">
        <v>0</v>
      </c>
      <c r="K29" s="461">
        <f t="shared" si="1"/>
        <v>0</v>
      </c>
      <c r="L29" s="421">
        <v>3000</v>
      </c>
      <c r="M29" s="459">
        <v>919007.57</v>
      </c>
      <c r="N29" s="421">
        <v>0</v>
      </c>
      <c r="O29" s="421">
        <f t="shared" si="9"/>
        <v>0</v>
      </c>
      <c r="P29" s="421">
        <v>0</v>
      </c>
      <c r="Q29" s="461">
        <f t="shared" si="4"/>
        <v>0</v>
      </c>
      <c r="R29" s="421">
        <v>0</v>
      </c>
      <c r="S29" s="461">
        <v>0</v>
      </c>
      <c r="T29" s="421">
        <v>100</v>
      </c>
      <c r="U29" s="459">
        <v>151071.07999999999</v>
      </c>
      <c r="V29" s="460">
        <v>0</v>
      </c>
      <c r="W29" s="461">
        <v>0</v>
      </c>
      <c r="X29" s="460">
        <v>0</v>
      </c>
      <c r="Y29" s="461">
        <v>0</v>
      </c>
      <c r="Z29" s="460">
        <v>0</v>
      </c>
      <c r="AA29" s="461">
        <v>0</v>
      </c>
      <c r="AB29" s="460">
        <v>0</v>
      </c>
      <c r="AC29" s="421">
        <f t="shared" si="12"/>
        <v>0</v>
      </c>
      <c r="AD29" s="460">
        <v>0</v>
      </c>
      <c r="AE29" s="421">
        <f t="shared" si="10"/>
        <v>0</v>
      </c>
      <c r="AF29" s="421">
        <v>0</v>
      </c>
      <c r="AG29" s="461">
        <v>0</v>
      </c>
      <c r="AH29" s="460">
        <v>6</v>
      </c>
      <c r="AI29" s="459">
        <v>46449.07</v>
      </c>
      <c r="AJ29" s="421">
        <v>0</v>
      </c>
      <c r="AK29" s="421">
        <v>0</v>
      </c>
      <c r="AL29" s="421">
        <v>0</v>
      </c>
      <c r="AM29" s="421">
        <v>0</v>
      </c>
      <c r="AN29" s="421">
        <v>0</v>
      </c>
      <c r="AO29" s="421">
        <v>0</v>
      </c>
      <c r="AP29" s="421">
        <v>0</v>
      </c>
      <c r="AQ29" s="421">
        <v>0</v>
      </c>
      <c r="AR29" s="461">
        <f t="shared" si="11"/>
        <v>0</v>
      </c>
      <c r="AS29" s="421"/>
      <c r="AT29" s="459">
        <f>AI29+U29+M29</f>
        <v>1116527.72</v>
      </c>
    </row>
    <row r="30" spans="1:46" ht="14.45" customHeight="1" x14ac:dyDescent="0.25">
      <c r="A30" s="455">
        <v>13</v>
      </c>
      <c r="B30" s="456" t="s">
        <v>121</v>
      </c>
      <c r="C30" s="457">
        <v>41</v>
      </c>
      <c r="D30" s="457"/>
      <c r="E30" s="421">
        <v>6939</v>
      </c>
      <c r="F30" s="421">
        <v>600</v>
      </c>
      <c r="G30" s="459">
        <v>355668.53</v>
      </c>
      <c r="H30" s="460">
        <v>0</v>
      </c>
      <c r="I30" s="461">
        <v>0</v>
      </c>
      <c r="J30" s="421">
        <v>0</v>
      </c>
      <c r="K30" s="461">
        <f t="shared" si="1"/>
        <v>0</v>
      </c>
      <c r="L30" s="421">
        <v>2500</v>
      </c>
      <c r="M30" s="459">
        <v>765839.66</v>
      </c>
      <c r="N30" s="421">
        <v>0</v>
      </c>
      <c r="O30" s="421">
        <f t="shared" si="9"/>
        <v>0</v>
      </c>
      <c r="P30" s="421">
        <v>0</v>
      </c>
      <c r="Q30" s="461">
        <f t="shared" si="4"/>
        <v>0</v>
      </c>
      <c r="R30" s="421">
        <v>0</v>
      </c>
      <c r="S30" s="461">
        <v>0</v>
      </c>
      <c r="T30" s="421">
        <v>100</v>
      </c>
      <c r="U30" s="459">
        <v>151071.07999999999</v>
      </c>
      <c r="V30" s="460">
        <v>0</v>
      </c>
      <c r="W30" s="461">
        <v>0</v>
      </c>
      <c r="X30" s="460">
        <v>0</v>
      </c>
      <c r="Y30" s="461">
        <v>0</v>
      </c>
      <c r="Z30" s="460">
        <v>0</v>
      </c>
      <c r="AA30" s="461">
        <v>0</v>
      </c>
      <c r="AB30" s="460">
        <v>0</v>
      </c>
      <c r="AC30" s="421">
        <f t="shared" si="12"/>
        <v>0</v>
      </c>
      <c r="AD30" s="460">
        <v>0</v>
      </c>
      <c r="AE30" s="421">
        <f t="shared" si="10"/>
        <v>0</v>
      </c>
      <c r="AF30" s="421">
        <v>0</v>
      </c>
      <c r="AG30" s="461">
        <v>0</v>
      </c>
      <c r="AH30" s="460">
        <v>6</v>
      </c>
      <c r="AI30" s="459">
        <v>46449.07</v>
      </c>
      <c r="AJ30" s="421">
        <v>0</v>
      </c>
      <c r="AK30" s="421">
        <v>0</v>
      </c>
      <c r="AL30" s="421">
        <v>0</v>
      </c>
      <c r="AM30" s="421">
        <v>0</v>
      </c>
      <c r="AN30" s="421">
        <v>0</v>
      </c>
      <c r="AO30" s="421">
        <v>0</v>
      </c>
      <c r="AP30" s="421">
        <v>0</v>
      </c>
      <c r="AQ30" s="421">
        <v>0</v>
      </c>
      <c r="AR30" s="461">
        <f t="shared" si="11"/>
        <v>0</v>
      </c>
      <c r="AS30" s="421"/>
      <c r="AT30" s="459">
        <f>AI30+U30+M30</f>
        <v>963359.81</v>
      </c>
    </row>
    <row r="31" spans="1:46" ht="15" customHeight="1" x14ac:dyDescent="0.25">
      <c r="A31" s="455">
        <v>14</v>
      </c>
      <c r="B31" s="456" t="s">
        <v>121</v>
      </c>
      <c r="C31" s="457">
        <v>33</v>
      </c>
      <c r="D31" s="457">
        <v>1</v>
      </c>
      <c r="E31" s="421">
        <v>4831</v>
      </c>
      <c r="F31" s="421">
        <v>600</v>
      </c>
      <c r="G31" s="459">
        <v>355668.53</v>
      </c>
      <c r="H31" s="460">
        <v>0</v>
      </c>
      <c r="I31" s="461">
        <v>0</v>
      </c>
      <c r="J31" s="421">
        <v>100</v>
      </c>
      <c r="K31" s="459">
        <v>99938.35</v>
      </c>
      <c r="L31" s="421">
        <v>2500</v>
      </c>
      <c r="M31" s="459">
        <v>765839.66</v>
      </c>
      <c r="N31" s="421">
        <v>0</v>
      </c>
      <c r="O31" s="421">
        <f t="shared" si="9"/>
        <v>0</v>
      </c>
      <c r="P31" s="421">
        <v>0</v>
      </c>
      <c r="Q31" s="461">
        <f t="shared" si="4"/>
        <v>0</v>
      </c>
      <c r="R31" s="421">
        <v>0</v>
      </c>
      <c r="S31" s="461">
        <v>0</v>
      </c>
      <c r="T31" s="421">
        <v>250</v>
      </c>
      <c r="U31" s="459">
        <v>377677.72</v>
      </c>
      <c r="V31" s="460">
        <v>0</v>
      </c>
      <c r="W31" s="461">
        <v>0</v>
      </c>
      <c r="X31" s="460">
        <v>0</v>
      </c>
      <c r="Y31" s="461">
        <v>0</v>
      </c>
      <c r="Z31" s="460">
        <v>0</v>
      </c>
      <c r="AA31" s="461">
        <v>0</v>
      </c>
      <c r="AB31" s="460">
        <v>0</v>
      </c>
      <c r="AC31" s="421">
        <f t="shared" si="12"/>
        <v>0</v>
      </c>
      <c r="AD31" s="460">
        <v>0</v>
      </c>
      <c r="AE31" s="421">
        <f t="shared" si="10"/>
        <v>0</v>
      </c>
      <c r="AF31" s="421">
        <f>SUM(AF18:AF30)</f>
        <v>0</v>
      </c>
      <c r="AG31" s="461">
        <v>0</v>
      </c>
      <c r="AH31" s="460">
        <v>12</v>
      </c>
      <c r="AI31" s="459">
        <v>92898.18</v>
      </c>
      <c r="AJ31" s="421">
        <v>0</v>
      </c>
      <c r="AK31" s="421">
        <f t="shared" si="3"/>
        <v>0</v>
      </c>
      <c r="AL31" s="421">
        <v>60</v>
      </c>
      <c r="AM31" s="459">
        <v>79791.95</v>
      </c>
      <c r="AN31" s="421">
        <v>0</v>
      </c>
      <c r="AO31" s="421">
        <v>0</v>
      </c>
      <c r="AP31" s="421">
        <v>0</v>
      </c>
      <c r="AQ31" s="421">
        <v>0</v>
      </c>
      <c r="AR31" s="461">
        <f t="shared" si="11"/>
        <v>0</v>
      </c>
      <c r="AS31" s="421"/>
      <c r="AT31" s="459">
        <f>AM31+AI31+U31+M31</f>
        <v>1316207.51</v>
      </c>
    </row>
    <row r="32" spans="1:46" ht="14.45" customHeight="1" x14ac:dyDescent="0.25">
      <c r="A32" s="455">
        <v>15</v>
      </c>
      <c r="B32" s="456" t="s">
        <v>121</v>
      </c>
      <c r="C32" s="457">
        <v>33</v>
      </c>
      <c r="D32" s="457">
        <v>2</v>
      </c>
      <c r="E32" s="421">
        <v>7983</v>
      </c>
      <c r="F32" s="421">
        <v>500</v>
      </c>
      <c r="G32" s="459">
        <v>296390.44</v>
      </c>
      <c r="H32" s="460">
        <v>0</v>
      </c>
      <c r="I32" s="461">
        <v>0</v>
      </c>
      <c r="J32" s="421">
        <v>0</v>
      </c>
      <c r="K32" s="461">
        <f t="shared" si="1"/>
        <v>0</v>
      </c>
      <c r="L32" s="421">
        <v>3500</v>
      </c>
      <c r="M32" s="459">
        <v>1072175.48</v>
      </c>
      <c r="N32" s="421">
        <v>410</v>
      </c>
      <c r="O32" s="459">
        <v>1624758.76</v>
      </c>
      <c r="P32" s="421">
        <v>180</v>
      </c>
      <c r="Q32" s="459">
        <v>351157.34</v>
      </c>
      <c r="R32" s="421">
        <v>0</v>
      </c>
      <c r="S32" s="461">
        <v>0</v>
      </c>
      <c r="T32" s="421">
        <v>200</v>
      </c>
      <c r="U32" s="459">
        <v>302142.19</v>
      </c>
      <c r="V32" s="460">
        <v>0</v>
      </c>
      <c r="W32" s="461">
        <v>0</v>
      </c>
      <c r="X32" s="460">
        <v>1</v>
      </c>
      <c r="Y32" s="459">
        <v>2551286.2400000002</v>
      </c>
      <c r="Z32" s="460">
        <v>0</v>
      </c>
      <c r="AA32" s="461">
        <v>0</v>
      </c>
      <c r="AB32" s="460">
        <v>0</v>
      </c>
      <c r="AC32" s="421">
        <f t="shared" si="12"/>
        <v>0</v>
      </c>
      <c r="AD32" s="460">
        <v>0</v>
      </c>
      <c r="AE32" s="421">
        <f t="shared" si="10"/>
        <v>0</v>
      </c>
      <c r="AF32" s="421">
        <v>255</v>
      </c>
      <c r="AG32" s="459">
        <v>585890.96</v>
      </c>
      <c r="AH32" s="460">
        <v>20</v>
      </c>
      <c r="AI32" s="459">
        <v>154830.28</v>
      </c>
      <c r="AJ32" s="421">
        <v>0</v>
      </c>
      <c r="AK32" s="421">
        <f t="shared" si="3"/>
        <v>0</v>
      </c>
      <c r="AL32" s="421">
        <v>0</v>
      </c>
      <c r="AM32" s="421">
        <f t="shared" ref="AM32:AM39" si="13">AL32*1119</f>
        <v>0</v>
      </c>
      <c r="AN32" s="421">
        <v>0</v>
      </c>
      <c r="AO32" s="421">
        <v>0</v>
      </c>
      <c r="AP32" s="421" t="s">
        <v>233</v>
      </c>
      <c r="AQ32" s="421">
        <v>10</v>
      </c>
      <c r="AR32" s="459">
        <v>39187.040000000001</v>
      </c>
      <c r="AS32" s="421"/>
      <c r="AT32" s="459">
        <f>AR32+AI32+AG32+Y32+U32+O32+M32</f>
        <v>6330270.9500000011</v>
      </c>
    </row>
    <row r="33" spans="1:46" ht="15" customHeight="1" x14ac:dyDescent="0.25">
      <c r="A33" s="455">
        <v>16</v>
      </c>
      <c r="B33" s="456" t="s">
        <v>121</v>
      </c>
      <c r="C33" s="457">
        <v>33</v>
      </c>
      <c r="D33" s="457">
        <v>3</v>
      </c>
      <c r="E33" s="421">
        <v>7002</v>
      </c>
      <c r="F33" s="421">
        <v>300</v>
      </c>
      <c r="G33" s="459">
        <v>177834.28</v>
      </c>
      <c r="H33" s="460">
        <v>0</v>
      </c>
      <c r="I33" s="461">
        <v>0</v>
      </c>
      <c r="J33" s="421">
        <v>100</v>
      </c>
      <c r="K33" s="459">
        <v>99938.35</v>
      </c>
      <c r="L33" s="421">
        <v>3000</v>
      </c>
      <c r="M33" s="459">
        <v>919007.56</v>
      </c>
      <c r="N33" s="421">
        <v>0</v>
      </c>
      <c r="O33" s="421">
        <f t="shared" si="9"/>
        <v>0</v>
      </c>
      <c r="P33" s="421">
        <v>170</v>
      </c>
      <c r="Q33" s="459">
        <v>327117.90000000002</v>
      </c>
      <c r="R33" s="421">
        <v>0</v>
      </c>
      <c r="S33" s="461">
        <v>0</v>
      </c>
      <c r="T33" s="421">
        <v>300</v>
      </c>
      <c r="U33" s="459">
        <v>453213.26</v>
      </c>
      <c r="V33" s="460">
        <v>0</v>
      </c>
      <c r="W33" s="461">
        <v>0</v>
      </c>
      <c r="X33" s="460">
        <v>0</v>
      </c>
      <c r="Y33" s="461">
        <v>0</v>
      </c>
      <c r="Z33" s="460">
        <v>0</v>
      </c>
      <c r="AA33" s="461">
        <v>0</v>
      </c>
      <c r="AB33" s="460">
        <v>0</v>
      </c>
      <c r="AC33" s="421">
        <f t="shared" si="12"/>
        <v>0</v>
      </c>
      <c r="AD33" s="460">
        <v>0</v>
      </c>
      <c r="AE33" s="421">
        <f t="shared" si="10"/>
        <v>0</v>
      </c>
      <c r="AF33" s="421">
        <v>0</v>
      </c>
      <c r="AG33" s="461">
        <v>0</v>
      </c>
      <c r="AH33" s="460">
        <v>6</v>
      </c>
      <c r="AI33" s="459">
        <v>46449.07</v>
      </c>
      <c r="AJ33" s="421">
        <v>0</v>
      </c>
      <c r="AK33" s="421">
        <f t="shared" si="3"/>
        <v>0</v>
      </c>
      <c r="AL33" s="421">
        <v>0</v>
      </c>
      <c r="AM33" s="421">
        <f t="shared" si="13"/>
        <v>0</v>
      </c>
      <c r="AN33" s="421">
        <v>0</v>
      </c>
      <c r="AO33" s="421">
        <v>0</v>
      </c>
      <c r="AP33" s="421">
        <v>0</v>
      </c>
      <c r="AQ33" s="421">
        <v>0</v>
      </c>
      <c r="AR33" s="461">
        <f t="shared" si="11"/>
        <v>0</v>
      </c>
      <c r="AS33" s="421"/>
      <c r="AT33" s="459">
        <f>AI33+U33+M33</f>
        <v>1418669.8900000001</v>
      </c>
    </row>
    <row r="34" spans="1:46" ht="15.6" customHeight="1" x14ac:dyDescent="0.25">
      <c r="A34" s="455">
        <v>17</v>
      </c>
      <c r="B34" s="456" t="s">
        <v>121</v>
      </c>
      <c r="C34" s="457">
        <v>33</v>
      </c>
      <c r="D34" s="457">
        <v>4</v>
      </c>
      <c r="E34" s="421">
        <v>7869</v>
      </c>
      <c r="F34" s="421">
        <v>400</v>
      </c>
      <c r="G34" s="459">
        <v>237112.37</v>
      </c>
      <c r="H34" s="460">
        <v>0</v>
      </c>
      <c r="I34" s="461">
        <v>0</v>
      </c>
      <c r="J34" s="421">
        <v>0</v>
      </c>
      <c r="K34" s="461">
        <f t="shared" si="1"/>
        <v>0</v>
      </c>
      <c r="L34" s="421">
        <v>2500</v>
      </c>
      <c r="M34" s="459">
        <v>765839.66</v>
      </c>
      <c r="N34" s="421">
        <v>0</v>
      </c>
      <c r="O34" s="421">
        <f t="shared" si="9"/>
        <v>0</v>
      </c>
      <c r="P34" s="421">
        <v>345</v>
      </c>
      <c r="Q34" s="459">
        <v>673051.55</v>
      </c>
      <c r="R34" s="421">
        <v>0</v>
      </c>
      <c r="S34" s="461">
        <v>0</v>
      </c>
      <c r="T34" s="421">
        <v>200</v>
      </c>
      <c r="U34" s="459">
        <v>302142.19</v>
      </c>
      <c r="V34" s="460">
        <v>0</v>
      </c>
      <c r="W34" s="461">
        <v>0</v>
      </c>
      <c r="X34" s="460">
        <v>0</v>
      </c>
      <c r="Y34" s="461">
        <v>0</v>
      </c>
      <c r="Z34" s="460">
        <v>0</v>
      </c>
      <c r="AA34" s="461">
        <v>0</v>
      </c>
      <c r="AB34" s="460">
        <v>0</v>
      </c>
      <c r="AC34" s="421">
        <f t="shared" si="12"/>
        <v>0</v>
      </c>
      <c r="AD34" s="460">
        <v>0</v>
      </c>
      <c r="AE34" s="421">
        <f t="shared" si="10"/>
        <v>0</v>
      </c>
      <c r="AF34" s="421">
        <v>0</v>
      </c>
      <c r="AG34" s="461">
        <v>0</v>
      </c>
      <c r="AH34" s="460">
        <v>6</v>
      </c>
      <c r="AI34" s="459">
        <v>46449.07</v>
      </c>
      <c r="AJ34" s="421">
        <v>0</v>
      </c>
      <c r="AK34" s="421">
        <v>0</v>
      </c>
      <c r="AL34" s="421">
        <v>0</v>
      </c>
      <c r="AM34" s="421">
        <v>0</v>
      </c>
      <c r="AN34" s="421">
        <v>0</v>
      </c>
      <c r="AO34" s="421">
        <v>0</v>
      </c>
      <c r="AP34" s="421">
        <v>0</v>
      </c>
      <c r="AQ34" s="421">
        <v>0</v>
      </c>
      <c r="AR34" s="461">
        <f t="shared" si="11"/>
        <v>0</v>
      </c>
      <c r="AS34" s="421"/>
      <c r="AT34" s="459">
        <f>AI34+U34+M34</f>
        <v>1114430.92</v>
      </c>
    </row>
    <row r="35" spans="1:46" ht="13.9" customHeight="1" x14ac:dyDescent="0.25">
      <c r="A35" s="455">
        <v>18</v>
      </c>
      <c r="B35" s="456" t="s">
        <v>267</v>
      </c>
      <c r="C35" s="457">
        <v>31</v>
      </c>
      <c r="D35" s="457">
        <v>2</v>
      </c>
      <c r="E35" s="421">
        <v>5714</v>
      </c>
      <c r="F35" s="421">
        <v>500</v>
      </c>
      <c r="G35" s="459">
        <v>296390.44</v>
      </c>
      <c r="H35" s="460">
        <v>0</v>
      </c>
      <c r="I35" s="461">
        <v>0</v>
      </c>
      <c r="J35" s="421">
        <v>0</v>
      </c>
      <c r="K35" s="461">
        <f t="shared" si="1"/>
        <v>0</v>
      </c>
      <c r="L35" s="421">
        <v>2500</v>
      </c>
      <c r="M35" s="459">
        <v>765839.66</v>
      </c>
      <c r="N35" s="421">
        <v>0</v>
      </c>
      <c r="O35" s="421">
        <f t="shared" si="9"/>
        <v>0</v>
      </c>
      <c r="P35" s="421">
        <v>0</v>
      </c>
      <c r="Q35" s="461">
        <f t="shared" si="4"/>
        <v>0</v>
      </c>
      <c r="R35" s="421">
        <v>0</v>
      </c>
      <c r="S35" s="461">
        <v>0</v>
      </c>
      <c r="T35" s="421">
        <v>0</v>
      </c>
      <c r="U35" s="461">
        <f t="shared" si="8"/>
        <v>0</v>
      </c>
      <c r="V35" s="460">
        <v>0</v>
      </c>
      <c r="W35" s="461">
        <v>0</v>
      </c>
      <c r="X35" s="460">
        <v>0</v>
      </c>
      <c r="Y35" s="461">
        <v>0</v>
      </c>
      <c r="Z35" s="460">
        <v>0</v>
      </c>
      <c r="AA35" s="461">
        <v>0</v>
      </c>
      <c r="AB35" s="460">
        <v>0</v>
      </c>
      <c r="AC35" s="421">
        <f t="shared" si="12"/>
        <v>0</v>
      </c>
      <c r="AD35" s="460">
        <v>0</v>
      </c>
      <c r="AE35" s="421">
        <f t="shared" si="10"/>
        <v>0</v>
      </c>
      <c r="AF35" s="421">
        <v>0</v>
      </c>
      <c r="AG35" s="461">
        <v>0</v>
      </c>
      <c r="AH35" s="460">
        <v>12</v>
      </c>
      <c r="AI35" s="459">
        <v>92898.18</v>
      </c>
      <c r="AJ35" s="421">
        <v>0</v>
      </c>
      <c r="AK35" s="421">
        <f t="shared" si="3"/>
        <v>0</v>
      </c>
      <c r="AL35" s="421">
        <v>0</v>
      </c>
      <c r="AM35" s="421">
        <f t="shared" si="13"/>
        <v>0</v>
      </c>
      <c r="AN35" s="421">
        <v>0</v>
      </c>
      <c r="AO35" s="421">
        <v>0</v>
      </c>
      <c r="AP35" s="421">
        <v>0</v>
      </c>
      <c r="AQ35" s="421">
        <v>0</v>
      </c>
      <c r="AR35" s="461">
        <f t="shared" si="11"/>
        <v>0</v>
      </c>
      <c r="AS35" s="421"/>
      <c r="AT35" s="459">
        <f>AI35+M35</f>
        <v>858737.84000000008</v>
      </c>
    </row>
    <row r="36" spans="1:46" ht="15" customHeight="1" x14ac:dyDescent="0.25">
      <c r="A36" s="455">
        <v>19</v>
      </c>
      <c r="B36" s="456" t="s">
        <v>267</v>
      </c>
      <c r="C36" s="457">
        <v>31</v>
      </c>
      <c r="D36" s="457">
        <v>3</v>
      </c>
      <c r="E36" s="421">
        <v>6072</v>
      </c>
      <c r="F36" s="421">
        <v>350</v>
      </c>
      <c r="G36" s="459">
        <v>207473.32</v>
      </c>
      <c r="H36" s="460">
        <v>0</v>
      </c>
      <c r="I36" s="461">
        <v>0</v>
      </c>
      <c r="J36" s="421">
        <v>0</v>
      </c>
      <c r="K36" s="461">
        <f t="shared" si="1"/>
        <v>0</v>
      </c>
      <c r="L36" s="421">
        <v>2500</v>
      </c>
      <c r="M36" s="459">
        <v>765839.66</v>
      </c>
      <c r="N36" s="421">
        <v>0</v>
      </c>
      <c r="O36" s="421">
        <f t="shared" si="9"/>
        <v>0</v>
      </c>
      <c r="P36" s="421">
        <v>300</v>
      </c>
      <c r="Q36" s="459">
        <v>585262.24</v>
      </c>
      <c r="R36" s="421">
        <v>0</v>
      </c>
      <c r="S36" s="461">
        <v>0</v>
      </c>
      <c r="T36" s="421">
        <v>0</v>
      </c>
      <c r="U36" s="461">
        <f t="shared" si="8"/>
        <v>0</v>
      </c>
      <c r="V36" s="460">
        <v>0</v>
      </c>
      <c r="W36" s="461">
        <v>0</v>
      </c>
      <c r="X36" s="460">
        <v>0</v>
      </c>
      <c r="Y36" s="461">
        <v>0</v>
      </c>
      <c r="Z36" s="460">
        <v>0</v>
      </c>
      <c r="AA36" s="461">
        <v>0</v>
      </c>
      <c r="AB36" s="460">
        <v>0</v>
      </c>
      <c r="AC36" s="421">
        <f t="shared" si="12"/>
        <v>0</v>
      </c>
      <c r="AD36" s="460">
        <v>0</v>
      </c>
      <c r="AE36" s="421">
        <f t="shared" si="10"/>
        <v>0</v>
      </c>
      <c r="AF36" s="421">
        <v>0</v>
      </c>
      <c r="AG36" s="461">
        <v>0</v>
      </c>
      <c r="AH36" s="460">
        <v>12</v>
      </c>
      <c r="AI36" s="459">
        <v>92898.18</v>
      </c>
      <c r="AJ36" s="421">
        <v>0</v>
      </c>
      <c r="AK36" s="421">
        <v>0</v>
      </c>
      <c r="AL36" s="421">
        <v>0</v>
      </c>
      <c r="AM36" s="421">
        <f t="shared" si="13"/>
        <v>0</v>
      </c>
      <c r="AN36" s="421">
        <v>0</v>
      </c>
      <c r="AO36" s="421">
        <v>0</v>
      </c>
      <c r="AP36" s="421">
        <v>0</v>
      </c>
      <c r="AQ36" s="421">
        <v>0</v>
      </c>
      <c r="AR36" s="461">
        <f t="shared" si="11"/>
        <v>0</v>
      </c>
      <c r="AS36" s="421"/>
      <c r="AT36" s="459">
        <f>AI36+M36</f>
        <v>858737.84000000008</v>
      </c>
    </row>
    <row r="37" spans="1:46" ht="18" customHeight="1" x14ac:dyDescent="0.25">
      <c r="A37" s="455">
        <v>20</v>
      </c>
      <c r="B37" s="456" t="s">
        <v>267</v>
      </c>
      <c r="C37" s="457">
        <v>31</v>
      </c>
      <c r="D37" s="457">
        <v>4</v>
      </c>
      <c r="E37" s="421">
        <v>4119</v>
      </c>
      <c r="F37" s="421">
        <v>350</v>
      </c>
      <c r="G37" s="459">
        <v>207473.32</v>
      </c>
      <c r="H37" s="460">
        <v>0</v>
      </c>
      <c r="I37" s="461">
        <v>0</v>
      </c>
      <c r="J37" s="421">
        <v>0</v>
      </c>
      <c r="K37" s="461">
        <f t="shared" si="1"/>
        <v>0</v>
      </c>
      <c r="L37" s="421">
        <v>2500</v>
      </c>
      <c r="M37" s="459">
        <v>765839.66</v>
      </c>
      <c r="N37" s="421">
        <v>0</v>
      </c>
      <c r="O37" s="421">
        <f t="shared" si="9"/>
        <v>0</v>
      </c>
      <c r="P37" s="421">
        <v>180</v>
      </c>
      <c r="Q37" s="459">
        <v>351157.34</v>
      </c>
      <c r="R37" s="421">
        <v>0</v>
      </c>
      <c r="S37" s="461">
        <v>0</v>
      </c>
      <c r="T37" s="421">
        <v>0</v>
      </c>
      <c r="U37" s="461">
        <f t="shared" si="8"/>
        <v>0</v>
      </c>
      <c r="V37" s="460">
        <v>0</v>
      </c>
      <c r="W37" s="461">
        <v>0</v>
      </c>
      <c r="X37" s="460">
        <v>0</v>
      </c>
      <c r="Y37" s="461">
        <v>0</v>
      </c>
      <c r="Z37" s="460">
        <v>0</v>
      </c>
      <c r="AA37" s="461">
        <v>0</v>
      </c>
      <c r="AB37" s="460">
        <v>0</v>
      </c>
      <c r="AC37" s="421">
        <f t="shared" si="12"/>
        <v>0</v>
      </c>
      <c r="AD37" s="460">
        <v>0</v>
      </c>
      <c r="AE37" s="421">
        <f t="shared" si="10"/>
        <v>0</v>
      </c>
      <c r="AF37" s="421">
        <v>0</v>
      </c>
      <c r="AG37" s="461">
        <v>0</v>
      </c>
      <c r="AH37" s="460">
        <v>0</v>
      </c>
      <c r="AI37" s="461">
        <v>0</v>
      </c>
      <c r="AJ37" s="421">
        <v>0</v>
      </c>
      <c r="AK37" s="421">
        <f t="shared" si="3"/>
        <v>0</v>
      </c>
      <c r="AL37" s="421">
        <v>0</v>
      </c>
      <c r="AM37" s="421">
        <f t="shared" si="13"/>
        <v>0</v>
      </c>
      <c r="AN37" s="421">
        <v>0</v>
      </c>
      <c r="AO37" s="421">
        <v>0</v>
      </c>
      <c r="AP37" s="421">
        <v>0</v>
      </c>
      <c r="AQ37" s="421">
        <v>0</v>
      </c>
      <c r="AR37" s="461">
        <f t="shared" si="11"/>
        <v>0</v>
      </c>
      <c r="AS37" s="421"/>
      <c r="AT37" s="459">
        <f>U37+M37</f>
        <v>765839.66</v>
      </c>
    </row>
    <row r="38" spans="1:46" ht="15" customHeight="1" x14ac:dyDescent="0.25">
      <c r="A38" s="455">
        <v>21</v>
      </c>
      <c r="B38" s="456" t="s">
        <v>268</v>
      </c>
      <c r="C38" s="457">
        <v>6</v>
      </c>
      <c r="D38" s="457"/>
      <c r="E38" s="421">
        <v>0</v>
      </c>
      <c r="F38" s="421">
        <v>0</v>
      </c>
      <c r="G38" s="461">
        <f t="shared" ref="G38:G39" si="14">F38*590.61</f>
        <v>0</v>
      </c>
      <c r="H38" s="460">
        <v>0</v>
      </c>
      <c r="I38" s="461">
        <v>0</v>
      </c>
      <c r="J38" s="421">
        <v>0</v>
      </c>
      <c r="K38" s="461">
        <f t="shared" si="1"/>
        <v>0</v>
      </c>
      <c r="L38" s="421">
        <v>0</v>
      </c>
      <c r="M38" s="461">
        <f t="shared" ref="M38:M39" si="15">L38*419.35</f>
        <v>0</v>
      </c>
      <c r="N38" s="421">
        <v>0</v>
      </c>
      <c r="O38" s="421">
        <f t="shared" si="9"/>
        <v>0</v>
      </c>
      <c r="P38" s="421">
        <v>0</v>
      </c>
      <c r="Q38" s="461">
        <f t="shared" si="4"/>
        <v>0</v>
      </c>
      <c r="R38" s="421">
        <v>0</v>
      </c>
      <c r="S38" s="461">
        <v>0</v>
      </c>
      <c r="T38" s="421">
        <v>0</v>
      </c>
      <c r="U38" s="461">
        <f t="shared" si="8"/>
        <v>0</v>
      </c>
      <c r="V38" s="460">
        <v>0</v>
      </c>
      <c r="W38" s="461">
        <v>0</v>
      </c>
      <c r="X38" s="460">
        <v>0</v>
      </c>
      <c r="Y38" s="461">
        <v>0</v>
      </c>
      <c r="Z38" s="460">
        <v>0</v>
      </c>
      <c r="AA38" s="461">
        <v>0</v>
      </c>
      <c r="AB38" s="460">
        <v>0</v>
      </c>
      <c r="AC38" s="421">
        <f t="shared" si="12"/>
        <v>0</v>
      </c>
      <c r="AD38" s="460">
        <v>0</v>
      </c>
      <c r="AE38" s="421">
        <f t="shared" si="10"/>
        <v>0</v>
      </c>
      <c r="AF38" s="421">
        <v>0</v>
      </c>
      <c r="AG38" s="461">
        <v>0</v>
      </c>
      <c r="AH38" s="460">
        <v>0</v>
      </c>
      <c r="AI38" s="461">
        <v>0</v>
      </c>
      <c r="AJ38" s="421">
        <v>0</v>
      </c>
      <c r="AK38" s="421">
        <f t="shared" si="3"/>
        <v>0</v>
      </c>
      <c r="AL38" s="421">
        <v>0</v>
      </c>
      <c r="AM38" s="421">
        <f t="shared" si="13"/>
        <v>0</v>
      </c>
      <c r="AN38" s="421">
        <v>300</v>
      </c>
      <c r="AO38" s="459">
        <v>825606.12</v>
      </c>
      <c r="AP38" s="421">
        <v>0</v>
      </c>
      <c r="AQ38" s="421">
        <v>0</v>
      </c>
      <c r="AR38" s="461">
        <f t="shared" si="11"/>
        <v>0</v>
      </c>
      <c r="AS38" s="421"/>
      <c r="AT38" s="459">
        <f t="shared" ref="AT38:AT39" si="16">AR38+AO38+AM38+AK38+AI38+AE38+AC38+AA38+Y38+W38+U38+S38+Q38+O38+M38+K38+I38+G38</f>
        <v>825606.12</v>
      </c>
    </row>
    <row r="39" spans="1:46" ht="12.6" customHeight="1" x14ac:dyDescent="0.25">
      <c r="A39" s="455">
        <v>22</v>
      </c>
      <c r="B39" s="456" t="s">
        <v>266</v>
      </c>
      <c r="C39" s="457">
        <v>16</v>
      </c>
      <c r="D39" s="457">
        <v>2</v>
      </c>
      <c r="E39" s="421">
        <v>0</v>
      </c>
      <c r="F39" s="421">
        <v>0</v>
      </c>
      <c r="G39" s="461">
        <f t="shared" si="14"/>
        <v>0</v>
      </c>
      <c r="H39" s="460">
        <v>0</v>
      </c>
      <c r="I39" s="461">
        <v>0</v>
      </c>
      <c r="J39" s="421">
        <v>0</v>
      </c>
      <c r="K39" s="461">
        <f t="shared" si="1"/>
        <v>0</v>
      </c>
      <c r="L39" s="421">
        <v>0</v>
      </c>
      <c r="M39" s="461">
        <f t="shared" si="15"/>
        <v>0</v>
      </c>
      <c r="N39" s="421">
        <v>0</v>
      </c>
      <c r="O39" s="421">
        <f t="shared" si="9"/>
        <v>0</v>
      </c>
      <c r="P39" s="421">
        <v>0</v>
      </c>
      <c r="Q39" s="461">
        <f t="shared" si="4"/>
        <v>0</v>
      </c>
      <c r="R39" s="421">
        <v>0</v>
      </c>
      <c r="S39" s="461">
        <v>0</v>
      </c>
      <c r="T39" s="421">
        <v>0</v>
      </c>
      <c r="U39" s="461">
        <v>0</v>
      </c>
      <c r="V39" s="460">
        <v>0</v>
      </c>
      <c r="W39" s="461">
        <v>0</v>
      </c>
      <c r="X39" s="460">
        <v>0</v>
      </c>
      <c r="Y39" s="461">
        <v>0</v>
      </c>
      <c r="Z39" s="460">
        <v>0</v>
      </c>
      <c r="AA39" s="461">
        <v>0</v>
      </c>
      <c r="AB39" s="460">
        <v>0</v>
      </c>
      <c r="AC39" s="421">
        <f t="shared" si="12"/>
        <v>0</v>
      </c>
      <c r="AD39" s="460">
        <v>0</v>
      </c>
      <c r="AE39" s="421">
        <f t="shared" si="10"/>
        <v>0</v>
      </c>
      <c r="AF39" s="421">
        <v>0</v>
      </c>
      <c r="AG39" s="461">
        <v>0</v>
      </c>
      <c r="AH39" s="460">
        <v>0</v>
      </c>
      <c r="AI39" s="461">
        <v>0</v>
      </c>
      <c r="AJ39" s="421">
        <v>0</v>
      </c>
      <c r="AK39" s="421">
        <f t="shared" si="3"/>
        <v>0</v>
      </c>
      <c r="AL39" s="421">
        <v>0</v>
      </c>
      <c r="AM39" s="421">
        <f t="shared" si="13"/>
        <v>0</v>
      </c>
      <c r="AN39" s="421">
        <v>300</v>
      </c>
      <c r="AO39" s="459">
        <v>825606.12</v>
      </c>
      <c r="AP39" s="421">
        <v>0</v>
      </c>
      <c r="AQ39" s="421">
        <v>0</v>
      </c>
      <c r="AR39" s="461">
        <f t="shared" si="11"/>
        <v>0</v>
      </c>
      <c r="AS39" s="421"/>
      <c r="AT39" s="459">
        <f t="shared" si="16"/>
        <v>825606.12</v>
      </c>
    </row>
    <row r="40" spans="1:46" x14ac:dyDescent="0.25">
      <c r="A40" s="449"/>
      <c r="B40" s="435" t="s">
        <v>236</v>
      </c>
      <c r="C40" s="435"/>
      <c r="D40" s="435"/>
      <c r="E40" s="453">
        <f>SUM(E18:E39)</f>
        <v>139754</v>
      </c>
      <c r="F40" s="453">
        <f t="shared" ref="F40:AH40" si="17">SUM(F18:F39)</f>
        <v>9500</v>
      </c>
      <c r="G40" s="433">
        <f>SUM(G18:G39)</f>
        <v>5631418.4300000016</v>
      </c>
      <c r="H40" s="405">
        <f t="shared" si="17"/>
        <v>5</v>
      </c>
      <c r="I40" s="433">
        <f t="shared" si="17"/>
        <v>152354.31</v>
      </c>
      <c r="J40" s="453">
        <f t="shared" si="17"/>
        <v>982.5</v>
      </c>
      <c r="K40" s="433">
        <f>SUM(K18:K39)</f>
        <v>981695.17999999982</v>
      </c>
      <c r="L40" s="453">
        <f t="shared" si="17"/>
        <v>47800</v>
      </c>
      <c r="M40" s="433">
        <f>SUM(M18:M39)</f>
        <v>14642854.230000002</v>
      </c>
      <c r="N40" s="453">
        <f t="shared" si="17"/>
        <v>810</v>
      </c>
      <c r="O40" s="433">
        <f>SUM(O18:O39)</f>
        <v>3035592.4699999997</v>
      </c>
      <c r="P40" s="453">
        <f t="shared" si="17"/>
        <v>1655.4</v>
      </c>
      <c r="Q40" s="433">
        <f>SUM(Q20:Q39)</f>
        <v>2999502.83</v>
      </c>
      <c r="R40" s="453">
        <f t="shared" si="17"/>
        <v>120</v>
      </c>
      <c r="S40" s="433">
        <f t="shared" si="17"/>
        <v>277508.90999999997</v>
      </c>
      <c r="T40" s="453">
        <f t="shared" si="17"/>
        <v>2470</v>
      </c>
      <c r="U40" s="433">
        <f>SUM(U18:U39)</f>
        <v>3751845.14</v>
      </c>
      <c r="V40" s="405">
        <f t="shared" si="17"/>
        <v>3</v>
      </c>
      <c r="W40" s="433">
        <f>SUM(W18:W39)</f>
        <v>330023.92</v>
      </c>
      <c r="X40" s="405">
        <f t="shared" si="17"/>
        <v>1</v>
      </c>
      <c r="Y40" s="433">
        <f>SUM(Y28:Y39)</f>
        <v>2551286.2400000002</v>
      </c>
      <c r="Z40" s="405">
        <f t="shared" si="17"/>
        <v>3</v>
      </c>
      <c r="AA40" s="433">
        <f>SUM(AA18:AA39)</f>
        <v>1008222.45</v>
      </c>
      <c r="AB40" s="405">
        <f t="shared" si="17"/>
        <v>0</v>
      </c>
      <c r="AC40" s="453">
        <f t="shared" si="17"/>
        <v>0</v>
      </c>
      <c r="AD40" s="405">
        <f t="shared" si="17"/>
        <v>0</v>
      </c>
      <c r="AE40" s="453">
        <f t="shared" si="17"/>
        <v>0</v>
      </c>
      <c r="AF40" s="453">
        <v>255</v>
      </c>
      <c r="AG40" s="433">
        <f>SUM(AG26:AG39)</f>
        <v>585890.96</v>
      </c>
      <c r="AH40" s="405">
        <f t="shared" si="17"/>
        <v>183</v>
      </c>
      <c r="AI40" s="433">
        <f>SUM(AI18:AI39)</f>
        <v>1525236.9799999997</v>
      </c>
      <c r="AJ40" s="453">
        <f t="shared" ref="AJ40:AQ40" si="18">SUM(AJ18:AJ39)</f>
        <v>412</v>
      </c>
      <c r="AK40" s="433">
        <f>SUM(AK18:AK39)</f>
        <v>908022.48</v>
      </c>
      <c r="AL40" s="453">
        <f t="shared" si="18"/>
        <v>60</v>
      </c>
      <c r="AM40" s="433">
        <f>SUM(AM31:AM39)</f>
        <v>79791.95</v>
      </c>
      <c r="AN40" s="453">
        <f t="shared" si="18"/>
        <v>600</v>
      </c>
      <c r="AO40" s="433">
        <f>SUM(AO38:AO39)</f>
        <v>1651212.24</v>
      </c>
      <c r="AP40" s="405">
        <v>4</v>
      </c>
      <c r="AQ40" s="453">
        <f t="shared" si="18"/>
        <v>40</v>
      </c>
      <c r="AR40" s="433">
        <f>SUM(AR18:AR39)</f>
        <v>163632.46</v>
      </c>
      <c r="AS40" s="433">
        <f>AR40+AO40+AM40+AK40+AI40+AG40+AA40+Y40+W40+U40+O40+M40</f>
        <v>30233611.520000003</v>
      </c>
      <c r="AT40" s="432">
        <f>SUM(AT18:AT39)</f>
        <v>30233611.520000007</v>
      </c>
    </row>
    <row r="41" spans="1:46" x14ac:dyDescent="0.25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8"/>
    </row>
    <row r="42" spans="1:46" x14ac:dyDescent="0.25">
      <c r="A42" s="439"/>
      <c r="B42" s="440"/>
      <c r="C42" s="440"/>
      <c r="D42" s="440"/>
      <c r="E42" s="447"/>
      <c r="F42" s="447" t="s">
        <v>261</v>
      </c>
      <c r="G42" s="447"/>
      <c r="H42" s="447"/>
      <c r="I42" s="447"/>
      <c r="J42" s="447"/>
      <c r="K42" s="447"/>
      <c r="L42" s="440"/>
      <c r="M42" s="440"/>
      <c r="N42" s="440"/>
      <c r="O42" s="448" t="s">
        <v>261</v>
      </c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8"/>
      <c r="AN42" s="448" t="s">
        <v>262</v>
      </c>
      <c r="AO42" s="448"/>
      <c r="AP42" s="440"/>
      <c r="AQ42" s="440"/>
      <c r="AR42" s="440"/>
      <c r="AS42" s="440"/>
      <c r="AT42" s="441"/>
    </row>
    <row r="43" spans="1:46" x14ac:dyDescent="0.25">
      <c r="A43" s="442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4"/>
    </row>
    <row r="44" spans="1:46" x14ac:dyDescent="0.25">
      <c r="A44" s="452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</row>
  </sheetData>
  <mergeCells count="26">
    <mergeCell ref="AO5:AU5"/>
    <mergeCell ref="AP14:AR16"/>
    <mergeCell ref="AS14:AS16"/>
    <mergeCell ref="AT14:AT16"/>
    <mergeCell ref="AJ14:AK16"/>
    <mergeCell ref="AL14:AM16"/>
    <mergeCell ref="A10:AT10"/>
    <mergeCell ref="A12:A16"/>
    <mergeCell ref="B12:D16"/>
    <mergeCell ref="E12:E16"/>
    <mergeCell ref="F12:AT13"/>
    <mergeCell ref="F14:G16"/>
    <mergeCell ref="H14:I16"/>
    <mergeCell ref="J14:K16"/>
    <mergeCell ref="L14:M16"/>
    <mergeCell ref="AN14:AO16"/>
    <mergeCell ref="AB14:AC16"/>
    <mergeCell ref="AD14:AE16"/>
    <mergeCell ref="AF14:AG16"/>
    <mergeCell ref="AH14:AI16"/>
    <mergeCell ref="N14:O16"/>
    <mergeCell ref="P14:S16"/>
    <mergeCell ref="T14:U16"/>
    <mergeCell ref="V14:W16"/>
    <mergeCell ref="X14:Y16"/>
    <mergeCell ref="Z14:AA16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workbookViewId="0">
      <selection activeCell="P12" sqref="P12"/>
    </sheetView>
  </sheetViews>
  <sheetFormatPr defaultRowHeight="15" x14ac:dyDescent="0.25"/>
  <cols>
    <col min="1" max="1" width="3.42578125" customWidth="1"/>
    <col min="2" max="2" width="20.28515625" customWidth="1"/>
    <col min="3" max="3" width="7.28515625" customWidth="1"/>
    <col min="4" max="4" width="6.28515625" customWidth="1"/>
    <col min="6" max="6" width="5" customWidth="1"/>
    <col min="7" max="7" width="8.28515625" customWidth="1"/>
    <col min="8" max="8" width="6.28515625" customWidth="1"/>
    <col min="9" max="9" width="8.7109375" customWidth="1"/>
    <col min="10" max="10" width="6" customWidth="1"/>
    <col min="11" max="11" width="9.7109375" customWidth="1"/>
    <col min="12" max="12" width="7.85546875" customWidth="1"/>
    <col min="13" max="13" width="12.28515625" bestFit="1" customWidth="1"/>
    <col min="14" max="14" width="13" customWidth="1"/>
  </cols>
  <sheetData>
    <row r="1" spans="1:14" x14ac:dyDescent="0.25">
      <c r="A1" s="471"/>
      <c r="B1" s="2"/>
      <c r="C1" s="15" t="s">
        <v>83</v>
      </c>
      <c r="D1" s="15"/>
      <c r="E1" s="15"/>
      <c r="F1" s="471"/>
      <c r="G1" s="471"/>
      <c r="H1" s="471"/>
      <c r="I1" s="471"/>
      <c r="J1" s="471"/>
      <c r="K1" s="471"/>
      <c r="L1" s="15"/>
      <c r="M1" s="15" t="s">
        <v>82</v>
      </c>
      <c r="N1" s="15"/>
    </row>
    <row r="2" spans="1:14" x14ac:dyDescent="0.25">
      <c r="A2" s="471"/>
      <c r="B2" s="513" t="s">
        <v>269</v>
      </c>
      <c r="C2" s="513"/>
      <c r="D2" s="513"/>
      <c r="E2" s="513"/>
      <c r="F2" s="471"/>
      <c r="G2" s="465"/>
      <c r="H2" s="465"/>
      <c r="I2" s="465"/>
      <c r="J2" s="465"/>
      <c r="K2" s="465"/>
      <c r="L2" s="15" t="s">
        <v>260</v>
      </c>
      <c r="M2" s="15"/>
      <c r="N2" s="15"/>
    </row>
    <row r="3" spans="1:14" x14ac:dyDescent="0.25">
      <c r="A3" s="471"/>
      <c r="B3" s="2"/>
      <c r="C3" s="15"/>
      <c r="D3" s="15" t="s">
        <v>265</v>
      </c>
      <c r="E3" s="15"/>
      <c r="F3" s="471"/>
      <c r="G3" s="465"/>
      <c r="H3" s="465"/>
      <c r="I3" s="465"/>
      <c r="J3" s="465"/>
      <c r="K3" s="465"/>
      <c r="L3" s="471"/>
      <c r="M3" s="471"/>
      <c r="N3" s="15" t="s">
        <v>294</v>
      </c>
    </row>
    <row r="4" spans="1:14" x14ac:dyDescent="0.25">
      <c r="A4" s="471"/>
      <c r="B4" s="2"/>
      <c r="C4" s="15"/>
      <c r="D4" s="15" t="s">
        <v>270</v>
      </c>
      <c r="E4" s="15"/>
      <c r="F4" s="471"/>
      <c r="G4" s="465"/>
      <c r="H4" s="465"/>
      <c r="I4" s="465"/>
      <c r="J4" s="465"/>
      <c r="K4" s="465"/>
      <c r="L4" s="471"/>
      <c r="M4" s="471"/>
      <c r="N4" s="471"/>
    </row>
    <row r="5" spans="1:14" ht="31.15" customHeight="1" x14ac:dyDescent="0.25">
      <c r="A5" s="804" t="s">
        <v>293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</row>
    <row r="6" spans="1:14" x14ac:dyDescent="0.25">
      <c r="A6" s="562" t="s">
        <v>33</v>
      </c>
      <c r="B6" s="805" t="s">
        <v>39</v>
      </c>
      <c r="C6" s="791" t="s">
        <v>34</v>
      </c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1:14" x14ac:dyDescent="0.25">
      <c r="A7" s="562"/>
      <c r="B7" s="806"/>
      <c r="C7" s="792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1:14" ht="14.45" customHeight="1" x14ac:dyDescent="0.25">
      <c r="A8" s="562"/>
      <c r="B8" s="806"/>
      <c r="C8" s="792"/>
      <c r="D8" s="795" t="s">
        <v>35</v>
      </c>
      <c r="E8" s="796"/>
      <c r="F8" s="795" t="s">
        <v>21</v>
      </c>
      <c r="G8" s="797"/>
      <c r="H8" s="795" t="s">
        <v>41</v>
      </c>
      <c r="I8" s="797"/>
      <c r="J8" s="795" t="s">
        <v>224</v>
      </c>
      <c r="K8" s="796"/>
      <c r="L8" s="796"/>
      <c r="M8" s="797"/>
      <c r="N8" s="779" t="s">
        <v>50</v>
      </c>
    </row>
    <row r="9" spans="1:14" x14ac:dyDescent="0.25">
      <c r="A9" s="562"/>
      <c r="B9" s="806"/>
      <c r="C9" s="792"/>
      <c r="D9" s="798"/>
      <c r="E9" s="799"/>
      <c r="F9" s="798"/>
      <c r="G9" s="800"/>
      <c r="H9" s="798"/>
      <c r="I9" s="800"/>
      <c r="J9" s="798"/>
      <c r="K9" s="799"/>
      <c r="L9" s="799"/>
      <c r="M9" s="800"/>
      <c r="N9" s="780"/>
    </row>
    <row r="10" spans="1:14" x14ac:dyDescent="0.25">
      <c r="A10" s="562"/>
      <c r="B10" s="806"/>
      <c r="C10" s="793"/>
      <c r="D10" s="801"/>
      <c r="E10" s="802"/>
      <c r="F10" s="801"/>
      <c r="G10" s="803"/>
      <c r="H10" s="801"/>
      <c r="I10" s="803"/>
      <c r="J10" s="801"/>
      <c r="K10" s="802"/>
      <c r="L10" s="802"/>
      <c r="M10" s="803"/>
      <c r="N10" s="781"/>
    </row>
    <row r="11" spans="1:14" ht="22.5" x14ac:dyDescent="0.25">
      <c r="A11" s="470"/>
      <c r="B11" s="807"/>
      <c r="C11" s="467" t="s">
        <v>40</v>
      </c>
      <c r="D11" s="421" t="s">
        <v>25</v>
      </c>
      <c r="E11" s="421" t="s">
        <v>26</v>
      </c>
      <c r="F11" s="460" t="s">
        <v>25</v>
      </c>
      <c r="G11" s="421" t="s">
        <v>26</v>
      </c>
      <c r="H11" s="421" t="s">
        <v>36</v>
      </c>
      <c r="I11" s="421" t="s">
        <v>26</v>
      </c>
      <c r="J11" s="421" t="s">
        <v>246</v>
      </c>
      <c r="K11" s="421" t="s">
        <v>26</v>
      </c>
      <c r="L11" s="421" t="s">
        <v>245</v>
      </c>
      <c r="M11" s="421" t="s">
        <v>26</v>
      </c>
      <c r="N11" s="468" t="s">
        <v>26</v>
      </c>
    </row>
    <row r="12" spans="1:14" ht="12" customHeight="1" x14ac:dyDescent="0.25">
      <c r="A12" s="455">
        <v>1</v>
      </c>
      <c r="B12" s="456" t="s">
        <v>271</v>
      </c>
      <c r="C12" s="421">
        <v>9050</v>
      </c>
      <c r="D12" s="421">
        <v>500</v>
      </c>
      <c r="E12" s="459">
        <v>298645.09000000003</v>
      </c>
      <c r="F12" s="460">
        <v>0</v>
      </c>
      <c r="G12" s="461">
        <v>0</v>
      </c>
      <c r="H12" s="421">
        <v>120</v>
      </c>
      <c r="I12" s="459">
        <v>122087.78</v>
      </c>
      <c r="J12" s="421">
        <v>0</v>
      </c>
      <c r="K12" s="461">
        <v>0</v>
      </c>
      <c r="L12" s="421">
        <v>0</v>
      </c>
      <c r="M12" s="461">
        <v>0</v>
      </c>
      <c r="N12" s="459">
        <f t="shared" ref="N12:N30" si="0">M12+K12+I12+G12+E12</f>
        <v>420732.87</v>
      </c>
    </row>
    <row r="13" spans="1:14" ht="11.45" customHeight="1" x14ac:dyDescent="0.25">
      <c r="A13" s="455">
        <v>2</v>
      </c>
      <c r="B13" s="456" t="s">
        <v>272</v>
      </c>
      <c r="C13" s="421">
        <v>14296</v>
      </c>
      <c r="D13" s="421">
        <v>500</v>
      </c>
      <c r="E13" s="459">
        <v>298645.09000000003</v>
      </c>
      <c r="F13" s="460">
        <v>0</v>
      </c>
      <c r="G13" s="461">
        <v>0</v>
      </c>
      <c r="H13" s="421">
        <v>110</v>
      </c>
      <c r="I13" s="459">
        <v>111832.75</v>
      </c>
      <c r="J13" s="421">
        <v>0</v>
      </c>
      <c r="K13" s="461">
        <v>0</v>
      </c>
      <c r="L13" s="421">
        <v>0</v>
      </c>
      <c r="M13" s="461">
        <v>0</v>
      </c>
      <c r="N13" s="459">
        <f t="shared" si="0"/>
        <v>410477.84</v>
      </c>
    </row>
    <row r="14" spans="1:14" ht="11.45" customHeight="1" x14ac:dyDescent="0.25">
      <c r="A14" s="455">
        <v>3</v>
      </c>
      <c r="B14" s="456" t="s">
        <v>273</v>
      </c>
      <c r="C14" s="421">
        <v>7960</v>
      </c>
      <c r="D14" s="421">
        <v>600</v>
      </c>
      <c r="E14" s="459">
        <v>358374.09</v>
      </c>
      <c r="F14" s="460">
        <v>0</v>
      </c>
      <c r="G14" s="461">
        <f t="shared" ref="G14:G19" si="1">F14*27000</f>
        <v>0</v>
      </c>
      <c r="H14" s="421">
        <v>0</v>
      </c>
      <c r="I14" s="461">
        <f t="shared" ref="I14:I31" si="2">H14*985</f>
        <v>0</v>
      </c>
      <c r="J14" s="421">
        <v>50.4</v>
      </c>
      <c r="K14" s="459">
        <v>30103.4</v>
      </c>
      <c r="L14" s="421">
        <v>0</v>
      </c>
      <c r="M14" s="461">
        <v>0</v>
      </c>
      <c r="N14" s="459">
        <v>388477.5</v>
      </c>
    </row>
    <row r="15" spans="1:14" ht="12" customHeight="1" x14ac:dyDescent="0.25">
      <c r="A15" s="455">
        <v>4</v>
      </c>
      <c r="B15" s="456" t="s">
        <v>274</v>
      </c>
      <c r="C15" s="421">
        <v>6710</v>
      </c>
      <c r="D15" s="421">
        <v>500</v>
      </c>
      <c r="E15" s="459">
        <v>298645.09000000003</v>
      </c>
      <c r="F15" s="460">
        <v>90</v>
      </c>
      <c r="G15" s="459">
        <v>162760.95000000001</v>
      </c>
      <c r="H15" s="421">
        <v>152.5</v>
      </c>
      <c r="I15" s="459">
        <v>155040.82999999999</v>
      </c>
      <c r="J15" s="421">
        <v>0</v>
      </c>
      <c r="K15" s="461">
        <f t="shared" ref="K15:K29" si="3">J15*2000</f>
        <v>0</v>
      </c>
      <c r="L15" s="421">
        <v>0</v>
      </c>
      <c r="M15" s="461">
        <f t="shared" ref="M15:M17" si="4">J15*2000</f>
        <v>0</v>
      </c>
      <c r="N15" s="459">
        <f t="shared" si="0"/>
        <v>616446.87000000011</v>
      </c>
    </row>
    <row r="16" spans="1:14" ht="12" customHeight="1" x14ac:dyDescent="0.25">
      <c r="A16" s="455">
        <v>5</v>
      </c>
      <c r="B16" s="456" t="s">
        <v>275</v>
      </c>
      <c r="C16" s="421">
        <v>6933</v>
      </c>
      <c r="D16" s="421">
        <v>500</v>
      </c>
      <c r="E16" s="459">
        <v>298645.09000000003</v>
      </c>
      <c r="F16" s="460">
        <v>0</v>
      </c>
      <c r="G16" s="461">
        <f t="shared" si="1"/>
        <v>0</v>
      </c>
      <c r="H16" s="421">
        <v>100</v>
      </c>
      <c r="I16" s="459">
        <v>101666.15</v>
      </c>
      <c r="J16" s="421">
        <v>0</v>
      </c>
      <c r="K16" s="461">
        <f t="shared" si="3"/>
        <v>0</v>
      </c>
      <c r="L16" s="421">
        <v>0</v>
      </c>
      <c r="M16" s="461">
        <f t="shared" si="4"/>
        <v>0</v>
      </c>
      <c r="N16" s="459">
        <f t="shared" si="0"/>
        <v>400311.24</v>
      </c>
    </row>
    <row r="17" spans="1:14" ht="11.45" customHeight="1" x14ac:dyDescent="0.25">
      <c r="A17" s="455">
        <v>6</v>
      </c>
      <c r="B17" s="456" t="s">
        <v>276</v>
      </c>
      <c r="C17" s="421">
        <v>7294</v>
      </c>
      <c r="D17" s="421">
        <v>500</v>
      </c>
      <c r="E17" s="459">
        <v>298645.09000000003</v>
      </c>
      <c r="F17" s="460">
        <v>0</v>
      </c>
      <c r="G17" s="461">
        <f t="shared" si="1"/>
        <v>0</v>
      </c>
      <c r="H17" s="421">
        <v>100</v>
      </c>
      <c r="I17" s="459">
        <v>101666.15</v>
      </c>
      <c r="J17" s="421">
        <v>0</v>
      </c>
      <c r="K17" s="461">
        <f t="shared" si="3"/>
        <v>0</v>
      </c>
      <c r="L17" s="421">
        <v>0</v>
      </c>
      <c r="M17" s="461">
        <f t="shared" si="4"/>
        <v>0</v>
      </c>
      <c r="N17" s="459">
        <f t="shared" si="0"/>
        <v>400311.24</v>
      </c>
    </row>
    <row r="18" spans="1:14" ht="12" customHeight="1" x14ac:dyDescent="0.25">
      <c r="A18" s="455">
        <v>7</v>
      </c>
      <c r="B18" s="456" t="s">
        <v>277</v>
      </c>
      <c r="C18" s="421">
        <v>4988</v>
      </c>
      <c r="D18" s="421">
        <v>500</v>
      </c>
      <c r="E18" s="459">
        <v>298645.09000000003</v>
      </c>
      <c r="F18" s="460">
        <v>0</v>
      </c>
      <c r="G18" s="461">
        <f t="shared" si="1"/>
        <v>0</v>
      </c>
      <c r="H18" s="421">
        <v>100</v>
      </c>
      <c r="I18" s="459">
        <v>101666.15</v>
      </c>
      <c r="J18" s="421">
        <v>0</v>
      </c>
      <c r="K18" s="461">
        <f t="shared" si="3"/>
        <v>0</v>
      </c>
      <c r="L18" s="421">
        <v>120</v>
      </c>
      <c r="M18" s="459">
        <v>281364.42</v>
      </c>
      <c r="N18" s="459">
        <v>681675.65</v>
      </c>
    </row>
    <row r="19" spans="1:14" ht="11.45" customHeight="1" x14ac:dyDescent="0.25">
      <c r="A19" s="455">
        <v>8</v>
      </c>
      <c r="B19" s="456" t="s">
        <v>278</v>
      </c>
      <c r="C19" s="421">
        <v>5714</v>
      </c>
      <c r="D19" s="421">
        <v>500</v>
      </c>
      <c r="E19" s="459">
        <v>298645.09000000003</v>
      </c>
      <c r="F19" s="460">
        <v>0</v>
      </c>
      <c r="G19" s="461">
        <f t="shared" si="1"/>
        <v>0</v>
      </c>
      <c r="H19" s="421">
        <v>100</v>
      </c>
      <c r="I19" s="459">
        <v>101666.15</v>
      </c>
      <c r="J19" s="421">
        <v>0</v>
      </c>
      <c r="K19" s="461">
        <f t="shared" si="3"/>
        <v>0</v>
      </c>
      <c r="L19" s="421">
        <v>0</v>
      </c>
      <c r="M19" s="461">
        <v>0</v>
      </c>
      <c r="N19" s="459">
        <f t="shared" si="0"/>
        <v>400311.24</v>
      </c>
    </row>
    <row r="20" spans="1:14" ht="13.15" customHeight="1" x14ac:dyDescent="0.25">
      <c r="A20" s="455">
        <v>9</v>
      </c>
      <c r="B20" s="456" t="s">
        <v>279</v>
      </c>
      <c r="C20" s="421">
        <v>8938</v>
      </c>
      <c r="D20" s="421">
        <v>600</v>
      </c>
      <c r="E20" s="459">
        <v>358374.09</v>
      </c>
      <c r="F20" s="460">
        <v>0</v>
      </c>
      <c r="G20" s="461">
        <v>0</v>
      </c>
      <c r="H20" s="421">
        <v>0</v>
      </c>
      <c r="I20" s="461">
        <f t="shared" si="2"/>
        <v>0</v>
      </c>
      <c r="J20" s="421">
        <v>310</v>
      </c>
      <c r="K20" s="459">
        <v>611239.02</v>
      </c>
      <c r="L20" s="421">
        <v>0</v>
      </c>
      <c r="M20" s="461">
        <v>0</v>
      </c>
      <c r="N20" s="459">
        <v>969613.12</v>
      </c>
    </row>
    <row r="21" spans="1:14" ht="13.9" customHeight="1" x14ac:dyDescent="0.25">
      <c r="A21" s="455">
        <v>10</v>
      </c>
      <c r="B21" s="456" t="s">
        <v>280</v>
      </c>
      <c r="C21" s="421">
        <v>6681</v>
      </c>
      <c r="D21" s="421">
        <v>500</v>
      </c>
      <c r="E21" s="459">
        <v>298645.09000000003</v>
      </c>
      <c r="F21" s="460">
        <v>0</v>
      </c>
      <c r="G21" s="461">
        <v>0</v>
      </c>
      <c r="H21" s="421">
        <v>0</v>
      </c>
      <c r="I21" s="461">
        <f t="shared" si="2"/>
        <v>0</v>
      </c>
      <c r="J21" s="421">
        <v>120</v>
      </c>
      <c r="K21" s="459">
        <v>236821.74</v>
      </c>
      <c r="L21" s="421">
        <v>0</v>
      </c>
      <c r="M21" s="461">
        <v>0</v>
      </c>
      <c r="N21" s="459">
        <f t="shared" si="0"/>
        <v>535466.83000000007</v>
      </c>
    </row>
    <row r="22" spans="1:14" ht="12" customHeight="1" x14ac:dyDescent="0.25">
      <c r="A22" s="455">
        <v>11</v>
      </c>
      <c r="B22" s="456" t="s">
        <v>281</v>
      </c>
      <c r="C22" s="421">
        <v>6511</v>
      </c>
      <c r="D22" s="421">
        <v>500</v>
      </c>
      <c r="E22" s="459">
        <v>298645.09000000003</v>
      </c>
      <c r="F22" s="460">
        <v>0</v>
      </c>
      <c r="G22" s="461">
        <v>0</v>
      </c>
      <c r="H22" s="421">
        <v>0</v>
      </c>
      <c r="I22" s="461">
        <f t="shared" si="2"/>
        <v>0</v>
      </c>
      <c r="J22" s="421">
        <v>0</v>
      </c>
      <c r="K22" s="461">
        <f t="shared" si="3"/>
        <v>0</v>
      </c>
      <c r="L22" s="421">
        <v>0</v>
      </c>
      <c r="M22" s="461">
        <v>0</v>
      </c>
      <c r="N22" s="459">
        <f t="shared" si="0"/>
        <v>298645.09000000003</v>
      </c>
    </row>
    <row r="23" spans="1:14" ht="11.45" customHeight="1" x14ac:dyDescent="0.25">
      <c r="A23" s="455">
        <v>12</v>
      </c>
      <c r="B23" s="456" t="s">
        <v>282</v>
      </c>
      <c r="C23" s="421">
        <v>4150</v>
      </c>
      <c r="D23" s="421">
        <v>200</v>
      </c>
      <c r="E23" s="459">
        <v>119458.04</v>
      </c>
      <c r="F23" s="460">
        <v>0</v>
      </c>
      <c r="G23" s="461">
        <v>0</v>
      </c>
      <c r="H23" s="421">
        <v>0</v>
      </c>
      <c r="I23" s="461">
        <f t="shared" si="2"/>
        <v>0</v>
      </c>
      <c r="J23" s="421">
        <v>0</v>
      </c>
      <c r="K23" s="461">
        <f t="shared" si="3"/>
        <v>0</v>
      </c>
      <c r="L23" s="421">
        <v>0</v>
      </c>
      <c r="M23" s="461">
        <v>0</v>
      </c>
      <c r="N23" s="459">
        <f t="shared" si="0"/>
        <v>119458.04</v>
      </c>
    </row>
    <row r="24" spans="1:14" ht="10.15" customHeight="1" x14ac:dyDescent="0.25">
      <c r="A24" s="455">
        <v>13</v>
      </c>
      <c r="B24" s="456" t="s">
        <v>283</v>
      </c>
      <c r="C24" s="421">
        <v>6939</v>
      </c>
      <c r="D24" s="421">
        <v>600</v>
      </c>
      <c r="E24" s="459">
        <v>358374.09</v>
      </c>
      <c r="F24" s="460">
        <v>0</v>
      </c>
      <c r="G24" s="461">
        <v>0</v>
      </c>
      <c r="H24" s="421">
        <v>0</v>
      </c>
      <c r="I24" s="461">
        <f t="shared" si="2"/>
        <v>0</v>
      </c>
      <c r="J24" s="421">
        <v>0</v>
      </c>
      <c r="K24" s="461">
        <f t="shared" si="3"/>
        <v>0</v>
      </c>
      <c r="L24" s="421">
        <v>0</v>
      </c>
      <c r="M24" s="461">
        <v>0</v>
      </c>
      <c r="N24" s="459">
        <f t="shared" si="0"/>
        <v>358374.09</v>
      </c>
    </row>
    <row r="25" spans="1:14" ht="13.9" customHeight="1" x14ac:dyDescent="0.25">
      <c r="A25" s="455">
        <v>14</v>
      </c>
      <c r="B25" s="456" t="s">
        <v>284</v>
      </c>
      <c r="C25" s="421">
        <v>4831</v>
      </c>
      <c r="D25" s="421">
        <v>700</v>
      </c>
      <c r="E25" s="459">
        <v>358374.09</v>
      </c>
      <c r="F25" s="460">
        <v>0</v>
      </c>
      <c r="G25" s="461">
        <v>0</v>
      </c>
      <c r="H25" s="421">
        <v>100</v>
      </c>
      <c r="I25" s="459">
        <v>101666.15</v>
      </c>
      <c r="J25" s="421">
        <v>0</v>
      </c>
      <c r="K25" s="461">
        <f t="shared" si="3"/>
        <v>0</v>
      </c>
      <c r="L25" s="421">
        <v>0</v>
      </c>
      <c r="M25" s="461">
        <v>0</v>
      </c>
      <c r="N25" s="459">
        <v>460040.25</v>
      </c>
    </row>
    <row r="26" spans="1:14" ht="13.9" customHeight="1" x14ac:dyDescent="0.25">
      <c r="A26" s="455">
        <v>15</v>
      </c>
      <c r="B26" s="456" t="s">
        <v>285</v>
      </c>
      <c r="C26" s="421">
        <v>7983</v>
      </c>
      <c r="D26" s="421">
        <v>500</v>
      </c>
      <c r="E26" s="459">
        <v>298645.09000000003</v>
      </c>
      <c r="F26" s="460">
        <v>0</v>
      </c>
      <c r="G26" s="461">
        <v>0</v>
      </c>
      <c r="H26" s="421">
        <v>0</v>
      </c>
      <c r="I26" s="461">
        <f t="shared" si="2"/>
        <v>0</v>
      </c>
      <c r="J26" s="421">
        <v>180</v>
      </c>
      <c r="K26" s="459">
        <v>355232.65</v>
      </c>
      <c r="L26" s="421">
        <v>0</v>
      </c>
      <c r="M26" s="461">
        <v>0</v>
      </c>
      <c r="N26" s="459">
        <f t="shared" si="0"/>
        <v>653877.74</v>
      </c>
    </row>
    <row r="27" spans="1:14" ht="14.45" customHeight="1" x14ac:dyDescent="0.25">
      <c r="A27" s="455">
        <v>16</v>
      </c>
      <c r="B27" s="456" t="s">
        <v>286</v>
      </c>
      <c r="C27" s="421">
        <v>7002</v>
      </c>
      <c r="D27" s="421">
        <v>300</v>
      </c>
      <c r="E27" s="459">
        <v>179187.05</v>
      </c>
      <c r="F27" s="460">
        <v>0</v>
      </c>
      <c r="G27" s="461">
        <v>0</v>
      </c>
      <c r="H27" s="421">
        <v>100</v>
      </c>
      <c r="I27" s="459">
        <v>101666.15</v>
      </c>
      <c r="J27" s="421">
        <v>170</v>
      </c>
      <c r="K27" s="459">
        <v>335222.25</v>
      </c>
      <c r="L27" s="421">
        <v>0</v>
      </c>
      <c r="M27" s="461">
        <v>0</v>
      </c>
      <c r="N27" s="459">
        <v>616075.43999999994</v>
      </c>
    </row>
    <row r="28" spans="1:14" ht="13.9" customHeight="1" x14ac:dyDescent="0.25">
      <c r="A28" s="455">
        <v>17</v>
      </c>
      <c r="B28" s="456" t="s">
        <v>287</v>
      </c>
      <c r="C28" s="421">
        <v>7869</v>
      </c>
      <c r="D28" s="421">
        <v>400</v>
      </c>
      <c r="E28" s="459">
        <v>238916.06</v>
      </c>
      <c r="F28" s="460">
        <v>0</v>
      </c>
      <c r="G28" s="461">
        <v>0</v>
      </c>
      <c r="H28" s="421">
        <v>0</v>
      </c>
      <c r="I28" s="461">
        <f t="shared" si="2"/>
        <v>0</v>
      </c>
      <c r="J28" s="421">
        <v>345</v>
      </c>
      <c r="K28" s="459">
        <v>680862.51</v>
      </c>
      <c r="L28" s="421">
        <v>0</v>
      </c>
      <c r="M28" s="461">
        <v>0</v>
      </c>
      <c r="N28" s="459">
        <v>919778.58</v>
      </c>
    </row>
    <row r="29" spans="1:14" ht="14.45" customHeight="1" x14ac:dyDescent="0.25">
      <c r="A29" s="455">
        <v>18</v>
      </c>
      <c r="B29" s="456" t="s">
        <v>288</v>
      </c>
      <c r="C29" s="421">
        <v>5714</v>
      </c>
      <c r="D29" s="421">
        <v>500</v>
      </c>
      <c r="E29" s="459">
        <v>298645.09000000003</v>
      </c>
      <c r="F29" s="460">
        <v>0</v>
      </c>
      <c r="G29" s="461">
        <v>0</v>
      </c>
      <c r="H29" s="421">
        <v>0</v>
      </c>
      <c r="I29" s="461">
        <f t="shared" si="2"/>
        <v>0</v>
      </c>
      <c r="J29" s="421">
        <v>0</v>
      </c>
      <c r="K29" s="461">
        <f t="shared" si="3"/>
        <v>0</v>
      </c>
      <c r="L29" s="421">
        <v>0</v>
      </c>
      <c r="M29" s="461">
        <v>0</v>
      </c>
      <c r="N29" s="459">
        <f t="shared" si="0"/>
        <v>298645.09000000003</v>
      </c>
    </row>
    <row r="30" spans="1:14" ht="13.9" customHeight="1" x14ac:dyDescent="0.25">
      <c r="A30" s="455">
        <v>19</v>
      </c>
      <c r="B30" s="456" t="s">
        <v>289</v>
      </c>
      <c r="C30" s="421">
        <v>6072</v>
      </c>
      <c r="D30" s="421">
        <v>350</v>
      </c>
      <c r="E30" s="459">
        <v>209051.56</v>
      </c>
      <c r="F30" s="460">
        <v>0</v>
      </c>
      <c r="G30" s="461">
        <v>0</v>
      </c>
      <c r="H30" s="421">
        <v>0</v>
      </c>
      <c r="I30" s="461">
        <f t="shared" si="2"/>
        <v>0</v>
      </c>
      <c r="J30" s="421">
        <v>300</v>
      </c>
      <c r="K30" s="459">
        <v>592054.39</v>
      </c>
      <c r="L30" s="421">
        <v>0</v>
      </c>
      <c r="M30" s="461">
        <v>0</v>
      </c>
      <c r="N30" s="459">
        <f t="shared" si="0"/>
        <v>801105.95</v>
      </c>
    </row>
    <row r="31" spans="1:14" ht="13.9" customHeight="1" x14ac:dyDescent="0.25">
      <c r="A31" s="455">
        <v>20</v>
      </c>
      <c r="B31" s="456" t="s">
        <v>290</v>
      </c>
      <c r="C31" s="421">
        <v>4119</v>
      </c>
      <c r="D31" s="421">
        <v>350</v>
      </c>
      <c r="E31" s="459">
        <v>209051.56</v>
      </c>
      <c r="F31" s="460">
        <v>0</v>
      </c>
      <c r="G31" s="461">
        <v>0</v>
      </c>
      <c r="H31" s="421">
        <v>0</v>
      </c>
      <c r="I31" s="461">
        <f t="shared" si="2"/>
        <v>0</v>
      </c>
      <c r="J31" s="421">
        <v>180</v>
      </c>
      <c r="K31" s="459">
        <v>107512.24</v>
      </c>
      <c r="L31" s="421">
        <v>0</v>
      </c>
      <c r="M31" s="461">
        <v>0</v>
      </c>
      <c r="N31" s="459">
        <v>316563.8</v>
      </c>
    </row>
    <row r="32" spans="1:14" x14ac:dyDescent="0.25">
      <c r="A32" s="466"/>
      <c r="B32" s="435" t="s">
        <v>236</v>
      </c>
      <c r="C32" s="469">
        <f t="shared" ref="C32:L32" si="5">SUM(C12:C31)</f>
        <v>139754</v>
      </c>
      <c r="D32" s="472">
        <f t="shared" si="5"/>
        <v>9600</v>
      </c>
      <c r="E32" s="473">
        <f>SUM(E12:E31)</f>
        <v>5674256.6199999982</v>
      </c>
      <c r="F32" s="474">
        <f t="shared" si="5"/>
        <v>90</v>
      </c>
      <c r="G32" s="473">
        <f>SUM(G12:G31)</f>
        <v>162760.95000000001</v>
      </c>
      <c r="H32" s="472">
        <f t="shared" si="5"/>
        <v>982.5</v>
      </c>
      <c r="I32" s="473">
        <f>SUM(I12:I31)</f>
        <v>998958.26000000013</v>
      </c>
      <c r="J32" s="472">
        <f t="shared" si="5"/>
        <v>1655.4</v>
      </c>
      <c r="K32" s="473">
        <f>SUM(K12:K31)</f>
        <v>2949048.2000000007</v>
      </c>
      <c r="L32" s="472">
        <f t="shared" si="5"/>
        <v>120</v>
      </c>
      <c r="M32" s="473">
        <f>SUM(M12:M31)</f>
        <v>281364.42</v>
      </c>
      <c r="N32" s="433">
        <f>SUM(N12:N31)</f>
        <v>10066388.470000001</v>
      </c>
    </row>
    <row r="34" spans="2:14" x14ac:dyDescent="0.25">
      <c r="B34" s="15" t="s">
        <v>261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262</v>
      </c>
      <c r="N34" s="15"/>
    </row>
    <row r="38" spans="2:14" x14ac:dyDescent="0.25">
      <c r="M38" s="445"/>
    </row>
    <row r="39" spans="2:14" x14ac:dyDescent="0.25">
      <c r="M39" s="445"/>
    </row>
  </sheetData>
  <mergeCells count="11">
    <mergeCell ref="N8:N10"/>
    <mergeCell ref="J8:M10"/>
    <mergeCell ref="B2:E2"/>
    <mergeCell ref="A5:N5"/>
    <mergeCell ref="A6:A10"/>
    <mergeCell ref="B6:B11"/>
    <mergeCell ref="C6:C10"/>
    <mergeCell ref="D6:N7"/>
    <mergeCell ref="D8:E10"/>
    <mergeCell ref="F8:G10"/>
    <mergeCell ref="H8:I10"/>
  </mergeCells>
  <pageMargins left="0.7" right="0.7" top="0.75" bottom="0.75" header="0.3" footer="0.3"/>
  <pageSetup paperSize="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распределение</vt:lpstr>
      <vt:lpstr>форма титула</vt:lpstr>
      <vt:lpstr>Лист1</vt:lpstr>
      <vt:lpstr>Лист3</vt:lpstr>
      <vt:lpstr>Лист4</vt:lpstr>
      <vt:lpstr>Лист9</vt:lpstr>
      <vt:lpstr>Лист2</vt:lpstr>
      <vt:lpstr>Лист5</vt:lpstr>
      <vt:lpstr>Лист3!Область_печати</vt:lpstr>
      <vt:lpstr>распределение!Область_печати</vt:lpstr>
      <vt:lpstr>'форма титула'!Область_печати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2012-08-10T14:06:29Z</cp:lastPrinted>
  <dcterms:created xsi:type="dcterms:W3CDTF">2006-09-28T05:33:49Z</dcterms:created>
  <dcterms:modified xsi:type="dcterms:W3CDTF">2014-07-15T04:16:52Z</dcterms:modified>
</cp:coreProperties>
</file>