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лагоустройство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AQ73" i="1"/>
  <c r="AP73"/>
  <c r="AO73"/>
  <c r="AN73"/>
  <c r="AM73"/>
  <c r="AL73"/>
  <c r="AK73"/>
  <c r="AJ73"/>
  <c r="AI73"/>
  <c r="AH73"/>
  <c r="AG73"/>
  <c r="AF73"/>
  <c r="AE73"/>
  <c r="AD73"/>
  <c r="AC73"/>
  <c r="Z73"/>
  <c r="S73"/>
  <c r="P73"/>
  <c r="O73"/>
  <c r="N73"/>
  <c r="M73"/>
  <c r="J73"/>
  <c r="I73"/>
  <c r="H73"/>
  <c r="G73"/>
  <c r="AR72"/>
  <c r="AS72" s="1"/>
  <c r="AF72"/>
  <c r="AG72" s="1"/>
  <c r="AA72"/>
  <c r="AB72" s="1"/>
  <c r="E72"/>
  <c r="F72" s="1"/>
  <c r="AV72" s="1"/>
  <c r="AQ71"/>
  <c r="AP71"/>
  <c r="AO71"/>
  <c r="AM71"/>
  <c r="AL71"/>
  <c r="AJ71"/>
  <c r="AV71" s="1"/>
  <c r="AI71"/>
  <c r="AT71" s="1"/>
  <c r="AU71" s="1"/>
  <c r="AA70"/>
  <c r="AB70" s="1"/>
  <c r="Z70"/>
  <c r="Y70"/>
  <c r="AV70" s="1"/>
  <c r="X70"/>
  <c r="AT70" s="1"/>
  <c r="AU70" s="1"/>
  <c r="AR69"/>
  <c r="AS69" s="1"/>
  <c r="AO69"/>
  <c r="AP69" s="1"/>
  <c r="AI69"/>
  <c r="AJ69" s="1"/>
  <c r="AC69"/>
  <c r="AD69" s="1"/>
  <c r="Z69"/>
  <c r="Y69"/>
  <c r="X69"/>
  <c r="O69"/>
  <c r="N69"/>
  <c r="L69"/>
  <c r="K69"/>
  <c r="T69" s="1"/>
  <c r="U69" s="1"/>
  <c r="I69"/>
  <c r="H69"/>
  <c r="F69"/>
  <c r="E69"/>
  <c r="AT69" s="1"/>
  <c r="AU69" s="1"/>
  <c r="AR68"/>
  <c r="AR73" s="1"/>
  <c r="X68"/>
  <c r="X73" s="1"/>
  <c r="E68"/>
  <c r="AT68" s="1"/>
  <c r="AU68" s="1"/>
  <c r="AA67"/>
  <c r="AA73" s="1"/>
  <c r="E67"/>
  <c r="E73" s="1"/>
  <c r="Q66"/>
  <c r="T66" s="1"/>
  <c r="U66" s="1"/>
  <c r="Q65"/>
  <c r="R65" s="1"/>
  <c r="AV65" s="1"/>
  <c r="Q64"/>
  <c r="T64" s="1"/>
  <c r="U64" s="1"/>
  <c r="Q63"/>
  <c r="R63" s="1"/>
  <c r="AV63" s="1"/>
  <c r="Q62"/>
  <c r="T62" s="1"/>
  <c r="U62" s="1"/>
  <c r="Q61"/>
  <c r="R61" s="1"/>
  <c r="AV61" s="1"/>
  <c r="Q60"/>
  <c r="T60" s="1"/>
  <c r="U60" s="1"/>
  <c r="Q59"/>
  <c r="R59" s="1"/>
  <c r="AV59" s="1"/>
  <c r="Q58"/>
  <c r="T58" s="1"/>
  <c r="U58" s="1"/>
  <c r="Q57"/>
  <c r="R57" s="1"/>
  <c r="AV57" s="1"/>
  <c r="Q56"/>
  <c r="T56" s="1"/>
  <c r="U56" s="1"/>
  <c r="Q55"/>
  <c r="R55" s="1"/>
  <c r="AV55" s="1"/>
  <c r="Q54"/>
  <c r="T54" s="1"/>
  <c r="U54" s="1"/>
  <c r="Q53"/>
  <c r="R53" s="1"/>
  <c r="AV53" s="1"/>
  <c r="Q52"/>
  <c r="T52" s="1"/>
  <c r="U52" s="1"/>
  <c r="Q51"/>
  <c r="R51" s="1"/>
  <c r="AV51" s="1"/>
  <c r="Q50"/>
  <c r="T50" s="1"/>
  <c r="U50" s="1"/>
  <c r="Q49"/>
  <c r="R49" s="1"/>
  <c r="AV49" s="1"/>
  <c r="Q48"/>
  <c r="T48" s="1"/>
  <c r="U48" s="1"/>
  <c r="Q47"/>
  <c r="R47" s="1"/>
  <c r="AV47" s="1"/>
  <c r="Q46"/>
  <c r="T46" s="1"/>
  <c r="U46" s="1"/>
  <c r="R45"/>
  <c r="AV45" s="1"/>
  <c r="Q45"/>
  <c r="T45" s="1"/>
  <c r="U45" s="1"/>
  <c r="Q44"/>
  <c r="T44" s="1"/>
  <c r="U44" s="1"/>
  <c r="R43"/>
  <c r="AV43" s="1"/>
  <c r="Q43"/>
  <c r="T43" s="1"/>
  <c r="U43" s="1"/>
  <c r="Q42"/>
  <c r="T42" s="1"/>
  <c r="U42" s="1"/>
  <c r="R41"/>
  <c r="AV41" s="1"/>
  <c r="Q41"/>
  <c r="T41" s="1"/>
  <c r="U41" s="1"/>
  <c r="Q40"/>
  <c r="T40" s="1"/>
  <c r="U40" s="1"/>
  <c r="R39"/>
  <c r="AV39" s="1"/>
  <c r="Q39"/>
  <c r="T39" s="1"/>
  <c r="U39" s="1"/>
  <c r="Q38"/>
  <c r="T38" s="1"/>
  <c r="U38" s="1"/>
  <c r="R37"/>
  <c r="AV37" s="1"/>
  <c r="Q37"/>
  <c r="T37" s="1"/>
  <c r="U37" s="1"/>
  <c r="Q36"/>
  <c r="T36" s="1"/>
  <c r="U36" s="1"/>
  <c r="Q35"/>
  <c r="R35" s="1"/>
  <c r="AV35" s="1"/>
  <c r="Q34"/>
  <c r="T34" s="1"/>
  <c r="U34" s="1"/>
  <c r="Q33"/>
  <c r="R33" s="1"/>
  <c r="AV33" s="1"/>
  <c r="Q32"/>
  <c r="R32" s="1"/>
  <c r="K32"/>
  <c r="T32" s="1"/>
  <c r="U32" s="1"/>
  <c r="Q31"/>
  <c r="Q73" s="1"/>
  <c r="K31"/>
  <c r="L31" s="1"/>
  <c r="K30"/>
  <c r="T30" s="1"/>
  <c r="U30" s="1"/>
  <c r="K29"/>
  <c r="L29" s="1"/>
  <c r="AV29" s="1"/>
  <c r="K28"/>
  <c r="T28" s="1"/>
  <c r="U28" s="1"/>
  <c r="K27"/>
  <c r="L27" s="1"/>
  <c r="AV27" s="1"/>
  <c r="K26"/>
  <c r="T26" s="1"/>
  <c r="U26" s="1"/>
  <c r="K25"/>
  <c r="L25" s="1"/>
  <c r="AV25" s="1"/>
  <c r="K24"/>
  <c r="T24" s="1"/>
  <c r="U24" s="1"/>
  <c r="K23"/>
  <c r="L23" s="1"/>
  <c r="AV23" s="1"/>
  <c r="K22"/>
  <c r="T22" s="1"/>
  <c r="U22" s="1"/>
  <c r="K21"/>
  <c r="L21" s="1"/>
  <c r="AV21" s="1"/>
  <c r="L20"/>
  <c r="AV20" s="1"/>
  <c r="K20"/>
  <c r="T20" s="1"/>
  <c r="U20" s="1"/>
  <c r="K19"/>
  <c r="L19" s="1"/>
  <c r="AV19" s="1"/>
  <c r="L18"/>
  <c r="AV18" s="1"/>
  <c r="K18"/>
  <c r="T18" s="1"/>
  <c r="U18" s="1"/>
  <c r="K17"/>
  <c r="L17" s="1"/>
  <c r="AV17" s="1"/>
  <c r="K16"/>
  <c r="T16" s="1"/>
  <c r="U16" s="1"/>
  <c r="K15"/>
  <c r="L15" s="1"/>
  <c r="AV15" s="1"/>
  <c r="K14"/>
  <c r="T14" s="1"/>
  <c r="U14" s="1"/>
  <c r="K13"/>
  <c r="L13" s="1"/>
  <c r="AV13" s="1"/>
  <c r="K12"/>
  <c r="T12" s="1"/>
  <c r="U12" s="1"/>
  <c r="K11"/>
  <c r="L11" s="1"/>
  <c r="AV11" s="1"/>
  <c r="K10"/>
  <c r="T10" s="1"/>
  <c r="U10" s="1"/>
  <c r="K9"/>
  <c r="L9" s="1"/>
  <c r="AV9" s="1"/>
  <c r="L8"/>
  <c r="AV8" s="1"/>
  <c r="K8"/>
  <c r="K73" s="1"/>
  <c r="K7"/>
  <c r="L7" s="1"/>
  <c r="E7"/>
  <c r="F7" s="1"/>
  <c r="AV7" l="1"/>
  <c r="AV69"/>
  <c r="T7"/>
  <c r="U7" s="1"/>
  <c r="AT7"/>
  <c r="AU7" s="1"/>
  <c r="T9"/>
  <c r="U9" s="1"/>
  <c r="L10"/>
  <c r="AV10" s="1"/>
  <c r="T11"/>
  <c r="U11" s="1"/>
  <c r="L12"/>
  <c r="AV12" s="1"/>
  <c r="T13"/>
  <c r="U13" s="1"/>
  <c r="L14"/>
  <c r="AV14" s="1"/>
  <c r="T15"/>
  <c r="U15" s="1"/>
  <c r="L16"/>
  <c r="AV16" s="1"/>
  <c r="T17"/>
  <c r="U17" s="1"/>
  <c r="T19"/>
  <c r="U19" s="1"/>
  <c r="T21"/>
  <c r="U21" s="1"/>
  <c r="L22"/>
  <c r="AV22" s="1"/>
  <c r="T23"/>
  <c r="U23" s="1"/>
  <c r="L24"/>
  <c r="AV24" s="1"/>
  <c r="T25"/>
  <c r="U25" s="1"/>
  <c r="L26"/>
  <c r="AV26" s="1"/>
  <c r="T27"/>
  <c r="U27" s="1"/>
  <c r="L28"/>
  <c r="AV28" s="1"/>
  <c r="T29"/>
  <c r="U29" s="1"/>
  <c r="L30"/>
  <c r="AV30" s="1"/>
  <c r="T31"/>
  <c r="U31" s="1"/>
  <c r="L32"/>
  <c r="AV32" s="1"/>
  <c r="T33"/>
  <c r="U33" s="1"/>
  <c r="R34"/>
  <c r="AV34" s="1"/>
  <c r="T35"/>
  <c r="U35" s="1"/>
  <c r="R36"/>
  <c r="AV36" s="1"/>
  <c r="R38"/>
  <c r="AV38" s="1"/>
  <c r="R40"/>
  <c r="AV40" s="1"/>
  <c r="R42"/>
  <c r="AV42" s="1"/>
  <c r="R44"/>
  <c r="AV44" s="1"/>
  <c r="R46"/>
  <c r="AV46" s="1"/>
  <c r="T47"/>
  <c r="U47" s="1"/>
  <c r="R48"/>
  <c r="AV48" s="1"/>
  <c r="T49"/>
  <c r="U49" s="1"/>
  <c r="R50"/>
  <c r="AV50" s="1"/>
  <c r="T51"/>
  <c r="U51" s="1"/>
  <c r="R52"/>
  <c r="AV52" s="1"/>
  <c r="T53"/>
  <c r="U53" s="1"/>
  <c r="R54"/>
  <c r="AV54" s="1"/>
  <c r="T55"/>
  <c r="U55" s="1"/>
  <c r="R56"/>
  <c r="AV56" s="1"/>
  <c r="T57"/>
  <c r="U57" s="1"/>
  <c r="R58"/>
  <c r="AV58" s="1"/>
  <c r="T59"/>
  <c r="U59" s="1"/>
  <c r="R60"/>
  <c r="AV60" s="1"/>
  <c r="T61"/>
  <c r="U61" s="1"/>
  <c r="R62"/>
  <c r="AV62" s="1"/>
  <c r="T63"/>
  <c r="U63" s="1"/>
  <c r="R64"/>
  <c r="AV64" s="1"/>
  <c r="T65"/>
  <c r="U65" s="1"/>
  <c r="R66"/>
  <c r="AV66" s="1"/>
  <c r="AT67"/>
  <c r="F68"/>
  <c r="Y68"/>
  <c r="Y73" s="1"/>
  <c r="AS68"/>
  <c r="AS73" s="1"/>
  <c r="AT72"/>
  <c r="AU72" s="1"/>
  <c r="L73"/>
  <c r="T8"/>
  <c r="R31"/>
  <c r="R73" s="1"/>
  <c r="F67"/>
  <c r="AB67"/>
  <c r="AB73" s="1"/>
  <c r="F73" l="1"/>
  <c r="AV67"/>
  <c r="T73"/>
  <c r="U8"/>
  <c r="U73" s="1"/>
  <c r="AU67"/>
  <c r="AU73" s="1"/>
  <c r="AT73"/>
  <c r="AV31"/>
  <c r="AV68"/>
  <c r="AV73"/>
</calcChain>
</file>

<file path=xl/comments1.xml><?xml version="1.0" encoding="utf-8"?>
<comments xmlns="http://schemas.openxmlformats.org/spreadsheetml/2006/main">
  <authors>
    <author>Автор</author>
  </authors>
  <commentList>
    <comment ref="G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проезд</t>
        </r>
      </text>
    </comment>
    <comment ref="B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Бехтерва 35-3</t>
        </r>
      </text>
    </comment>
    <comment ref="M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мал. Парковка 102 кв.м; бол. Парковка 435 кв.м. </t>
        </r>
      </text>
    </comment>
    <comment ref="B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Бехтерва 35-3</t>
        </r>
      </text>
    </comment>
    <comment ref="AR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столбики</t>
        </r>
      </text>
    </comment>
    <comment ref="AK6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сцена
</t>
        </r>
      </text>
    </comment>
    <comment ref="AR6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озеленение</t>
        </r>
      </text>
    </comment>
    <comment ref="AR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пандус
</t>
        </r>
      </text>
    </comment>
  </commentList>
</comments>
</file>

<file path=xl/sharedStrings.xml><?xml version="1.0" encoding="utf-8"?>
<sst xmlns="http://schemas.openxmlformats.org/spreadsheetml/2006/main" count="158" uniqueCount="68">
  <si>
    <t>Ремонт асфаль-товых покрытий</t>
  </si>
  <si>
    <t>Замена бортового камня</t>
  </si>
  <si>
    <t>Устройство гостевых парковоч-ных карманов</t>
  </si>
  <si>
    <t>Демонтаж контейнерных  площадок</t>
  </si>
  <si>
    <t>Установка контейнерных (для бункера) площадок</t>
  </si>
  <si>
    <t xml:space="preserve">Итого затраты </t>
  </si>
  <si>
    <t xml:space="preserve"> Устройство пешеходной дорожки</t>
  </si>
  <si>
    <t xml:space="preserve"> Ремонт лестниц</t>
  </si>
  <si>
    <t xml:space="preserve"> Устройство газона</t>
  </si>
  <si>
    <t xml:space="preserve"> Устройство ограждения</t>
  </si>
  <si>
    <t xml:space="preserve"> Устройство детской площадки</t>
  </si>
  <si>
    <t>Ремонт МАФ</t>
  </si>
  <si>
    <t>Установка МАФ</t>
  </si>
  <si>
    <t>Прочие</t>
  </si>
  <si>
    <t>Итого затраты</t>
  </si>
  <si>
    <t>улица</t>
  </si>
  <si>
    <t>дом</t>
  </si>
  <si>
    <t>кор.</t>
  </si>
  <si>
    <t>тыс. р</t>
  </si>
  <si>
    <t>кв.м.</t>
  </si>
  <si>
    <t>м</t>
  </si>
  <si>
    <t>руб.</t>
  </si>
  <si>
    <t xml:space="preserve"> тыс. руб.</t>
  </si>
  <si>
    <t>тыс.р.</t>
  </si>
  <si>
    <t>шт.</t>
  </si>
  <si>
    <t>тыс. руб.</t>
  </si>
  <si>
    <t>Кавказский б-р</t>
  </si>
  <si>
    <t>34</t>
  </si>
  <si>
    <t>Ереванская ул.</t>
  </si>
  <si>
    <t>Кантемировская</t>
  </si>
  <si>
    <t>11</t>
  </si>
  <si>
    <t>Бехтерева ул.</t>
  </si>
  <si>
    <t>Бакинская ул.</t>
  </si>
  <si>
    <t>Севанская ул.</t>
  </si>
  <si>
    <t>52</t>
  </si>
  <si>
    <t>21</t>
  </si>
  <si>
    <t>Каспийская ул.</t>
  </si>
  <si>
    <t>56</t>
  </si>
  <si>
    <t>7</t>
  </si>
  <si>
    <t>29</t>
  </si>
  <si>
    <t xml:space="preserve">Пролетарский пр-т </t>
  </si>
  <si>
    <t>22</t>
  </si>
  <si>
    <t>17</t>
  </si>
  <si>
    <t>19</t>
  </si>
  <si>
    <t>54</t>
  </si>
  <si>
    <t>Луганская</t>
  </si>
  <si>
    <t>31</t>
  </si>
  <si>
    <t xml:space="preserve">Веселая </t>
  </si>
  <si>
    <t>50</t>
  </si>
  <si>
    <t>5</t>
  </si>
  <si>
    <t>33</t>
  </si>
  <si>
    <t>2/1</t>
  </si>
  <si>
    <t>26</t>
  </si>
  <si>
    <t>Медиков</t>
  </si>
  <si>
    <t>1/1</t>
  </si>
  <si>
    <t>14/49</t>
  </si>
  <si>
    <t>28</t>
  </si>
  <si>
    <t>45</t>
  </si>
  <si>
    <t>4</t>
  </si>
  <si>
    <t>58</t>
  </si>
  <si>
    <t>46</t>
  </si>
  <si>
    <t>60</t>
  </si>
  <si>
    <t>ИТОГО:</t>
  </si>
  <si>
    <t>тыс.руб.</t>
  </si>
  <si>
    <r>
      <rPr>
        <sz val="16"/>
        <color theme="1"/>
        <rFont val="Times New Roman"/>
        <family val="1"/>
        <charset val="204"/>
      </rPr>
      <t xml:space="preserve">Приложение                                                                                         к решению Совета депутатов муниципального округа Царицыно  от 30.05.2013 № МЦА-03-51  </t>
    </r>
    <r>
      <rPr>
        <sz val="16"/>
        <color theme="1"/>
        <rFont val="Arial Narrow"/>
        <family val="2"/>
        <charset val="204"/>
      </rPr>
      <t xml:space="preserve">     </t>
    </r>
  </si>
  <si>
    <t>Адресный перечень дворовых территорий для проведения работ по благоустройству отдельный территорий района Царицыно в 2013 году, за счет возвращенных штрафных санкций 2012 года (постановление Правительства Москвы от 26.12.2012г. №849-ПП "О стимулировании управ районов г.Москвы")</t>
  </si>
  <si>
    <t>Глава муниципального округа Царицыно</t>
  </si>
  <si>
    <t>В.С.Козлов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</si>
</sst>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р_.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20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6"/>
      <name val="Arial Narrow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20"/>
      <color theme="1"/>
      <name val="Arial Narrow"/>
      <family val="2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/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/>
    <xf numFmtId="0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0"/>
  <sheetViews>
    <sheetView tabSelected="1" view="pageBreakPreview" topLeftCell="A34" zoomScale="60" zoomScaleNormal="100" workbookViewId="0">
      <selection activeCell="Z78" sqref="Z78"/>
    </sheetView>
  </sheetViews>
  <sheetFormatPr defaultRowHeight="20.25"/>
  <cols>
    <col min="1" max="1" width="4" style="3" bestFit="1" customWidth="1"/>
    <col min="2" max="2" width="21.140625" style="3" customWidth="1"/>
    <col min="3" max="4" width="6.28515625" style="3" customWidth="1"/>
    <col min="5" max="5" width="9.42578125" style="3" hidden="1" customWidth="1"/>
    <col min="6" max="6" width="6.5703125" style="3" hidden="1" customWidth="1"/>
    <col min="7" max="7" width="20.42578125" style="3" customWidth="1"/>
    <col min="8" max="8" width="8" style="3" hidden="1" customWidth="1"/>
    <col min="9" max="9" width="6.28515625" style="3" hidden="1" customWidth="1"/>
    <col min="10" max="10" width="16.140625" style="3" customWidth="1"/>
    <col min="11" max="11" width="14.42578125" style="3" hidden="1" customWidth="1"/>
    <col min="12" max="12" width="9.85546875" style="3" hidden="1" customWidth="1"/>
    <col min="13" max="13" width="19.140625" style="3" customWidth="1"/>
    <col min="14" max="14" width="10.42578125" style="3" hidden="1" customWidth="1"/>
    <col min="15" max="15" width="8.42578125" style="3" hidden="1" customWidth="1"/>
    <col min="16" max="16" width="20.85546875" style="3" customWidth="1"/>
    <col min="17" max="17" width="14.85546875" style="3" hidden="1" customWidth="1"/>
    <col min="18" max="18" width="9" style="3" hidden="1" customWidth="1"/>
    <col min="19" max="19" width="23" style="3" customWidth="1"/>
    <col min="20" max="21" width="19.140625" style="3" hidden="1" customWidth="1"/>
    <col min="22" max="22" width="10.140625" style="3" hidden="1" customWidth="1"/>
    <col min="23" max="24" width="0" style="3" hidden="1" customWidth="1"/>
    <col min="25" max="25" width="3" style="3" hidden="1" customWidth="1"/>
    <col min="26" max="26" width="18.85546875" style="3" customWidth="1"/>
    <col min="27" max="27" width="7.85546875" style="3" hidden="1" customWidth="1"/>
    <col min="28" max="28" width="14.140625" style="3" customWidth="1"/>
    <col min="29" max="30" width="0" style="3" hidden="1" customWidth="1"/>
    <col min="31" max="31" width="17.28515625" style="3" customWidth="1"/>
    <col min="32" max="33" width="0" style="3" hidden="1" customWidth="1"/>
    <col min="34" max="34" width="18.140625" style="3" customWidth="1"/>
    <col min="35" max="36" width="0" style="3" hidden="1" customWidth="1"/>
    <col min="37" max="37" width="17" style="3" customWidth="1"/>
    <col min="38" max="39" width="0" style="3" hidden="1" customWidth="1"/>
    <col min="40" max="40" width="15.5703125" style="3" customWidth="1"/>
    <col min="41" max="42" width="0" style="3" hidden="1" customWidth="1"/>
    <col min="43" max="43" width="16.28515625" style="3" customWidth="1"/>
    <col min="44" max="44" width="0" style="3" hidden="1" customWidth="1"/>
    <col min="45" max="45" width="14.42578125" style="3" customWidth="1"/>
    <col min="46" max="46" width="14.28515625" style="3" hidden="1" customWidth="1"/>
    <col min="47" max="47" width="9.140625" style="3" hidden="1" customWidth="1"/>
    <col min="48" max="48" width="14.28515625" style="28" customWidth="1"/>
    <col min="49" max="256" width="9.140625" style="3"/>
    <col min="257" max="257" width="4" style="3" bestFit="1" customWidth="1"/>
    <col min="258" max="258" width="21.140625" style="3" customWidth="1"/>
    <col min="259" max="260" width="6.28515625" style="3" customWidth="1"/>
    <col min="261" max="262" width="0" style="3" hidden="1" customWidth="1"/>
    <col min="263" max="263" width="20.42578125" style="3" customWidth="1"/>
    <col min="264" max="265" width="0" style="3" hidden="1" customWidth="1"/>
    <col min="266" max="266" width="16.140625" style="3" customWidth="1"/>
    <col min="267" max="268" width="0" style="3" hidden="1" customWidth="1"/>
    <col min="269" max="269" width="19.140625" style="3" customWidth="1"/>
    <col min="270" max="271" width="0" style="3" hidden="1" customWidth="1"/>
    <col min="272" max="272" width="20.85546875" style="3" customWidth="1"/>
    <col min="273" max="274" width="0" style="3" hidden="1" customWidth="1"/>
    <col min="275" max="275" width="23" style="3" customWidth="1"/>
    <col min="276" max="281" width="0" style="3" hidden="1" customWidth="1"/>
    <col min="282" max="282" width="18.85546875" style="3" customWidth="1"/>
    <col min="283" max="283" width="0" style="3" hidden="1" customWidth="1"/>
    <col min="284" max="284" width="14.140625" style="3" customWidth="1"/>
    <col min="285" max="286" width="0" style="3" hidden="1" customWidth="1"/>
    <col min="287" max="287" width="17.28515625" style="3" customWidth="1"/>
    <col min="288" max="289" width="0" style="3" hidden="1" customWidth="1"/>
    <col min="290" max="290" width="18.140625" style="3" customWidth="1"/>
    <col min="291" max="292" width="0" style="3" hidden="1" customWidth="1"/>
    <col min="293" max="293" width="17" style="3" customWidth="1"/>
    <col min="294" max="295" width="0" style="3" hidden="1" customWidth="1"/>
    <col min="296" max="296" width="15.5703125" style="3" customWidth="1"/>
    <col min="297" max="298" width="0" style="3" hidden="1" customWidth="1"/>
    <col min="299" max="299" width="16.28515625" style="3" customWidth="1"/>
    <col min="300" max="300" width="0" style="3" hidden="1" customWidth="1"/>
    <col min="301" max="301" width="14.42578125" style="3" customWidth="1"/>
    <col min="302" max="303" width="0" style="3" hidden="1" customWidth="1"/>
    <col min="304" max="304" width="14.28515625" style="3" customWidth="1"/>
    <col min="305" max="512" width="9.140625" style="3"/>
    <col min="513" max="513" width="4" style="3" bestFit="1" customWidth="1"/>
    <col min="514" max="514" width="21.140625" style="3" customWidth="1"/>
    <col min="515" max="516" width="6.28515625" style="3" customWidth="1"/>
    <col min="517" max="518" width="0" style="3" hidden="1" customWidth="1"/>
    <col min="519" max="519" width="20.42578125" style="3" customWidth="1"/>
    <col min="520" max="521" width="0" style="3" hidden="1" customWidth="1"/>
    <col min="522" max="522" width="16.140625" style="3" customWidth="1"/>
    <col min="523" max="524" width="0" style="3" hidden="1" customWidth="1"/>
    <col min="525" max="525" width="19.140625" style="3" customWidth="1"/>
    <col min="526" max="527" width="0" style="3" hidden="1" customWidth="1"/>
    <col min="528" max="528" width="20.85546875" style="3" customWidth="1"/>
    <col min="529" max="530" width="0" style="3" hidden="1" customWidth="1"/>
    <col min="531" max="531" width="23" style="3" customWidth="1"/>
    <col min="532" max="537" width="0" style="3" hidden="1" customWidth="1"/>
    <col min="538" max="538" width="18.85546875" style="3" customWidth="1"/>
    <col min="539" max="539" width="0" style="3" hidden="1" customWidth="1"/>
    <col min="540" max="540" width="14.140625" style="3" customWidth="1"/>
    <col min="541" max="542" width="0" style="3" hidden="1" customWidth="1"/>
    <col min="543" max="543" width="17.28515625" style="3" customWidth="1"/>
    <col min="544" max="545" width="0" style="3" hidden="1" customWidth="1"/>
    <col min="546" max="546" width="18.140625" style="3" customWidth="1"/>
    <col min="547" max="548" width="0" style="3" hidden="1" customWidth="1"/>
    <col min="549" max="549" width="17" style="3" customWidth="1"/>
    <col min="550" max="551" width="0" style="3" hidden="1" customWidth="1"/>
    <col min="552" max="552" width="15.5703125" style="3" customWidth="1"/>
    <col min="553" max="554" width="0" style="3" hidden="1" customWidth="1"/>
    <col min="555" max="555" width="16.28515625" style="3" customWidth="1"/>
    <col min="556" max="556" width="0" style="3" hidden="1" customWidth="1"/>
    <col min="557" max="557" width="14.42578125" style="3" customWidth="1"/>
    <col min="558" max="559" width="0" style="3" hidden="1" customWidth="1"/>
    <col min="560" max="560" width="14.28515625" style="3" customWidth="1"/>
    <col min="561" max="768" width="9.140625" style="3"/>
    <col min="769" max="769" width="4" style="3" bestFit="1" customWidth="1"/>
    <col min="770" max="770" width="21.140625" style="3" customWidth="1"/>
    <col min="771" max="772" width="6.28515625" style="3" customWidth="1"/>
    <col min="773" max="774" width="0" style="3" hidden="1" customWidth="1"/>
    <col min="775" max="775" width="20.42578125" style="3" customWidth="1"/>
    <col min="776" max="777" width="0" style="3" hidden="1" customWidth="1"/>
    <col min="778" max="778" width="16.140625" style="3" customWidth="1"/>
    <col min="779" max="780" width="0" style="3" hidden="1" customWidth="1"/>
    <col min="781" max="781" width="19.140625" style="3" customWidth="1"/>
    <col min="782" max="783" width="0" style="3" hidden="1" customWidth="1"/>
    <col min="784" max="784" width="20.85546875" style="3" customWidth="1"/>
    <col min="785" max="786" width="0" style="3" hidden="1" customWidth="1"/>
    <col min="787" max="787" width="23" style="3" customWidth="1"/>
    <col min="788" max="793" width="0" style="3" hidden="1" customWidth="1"/>
    <col min="794" max="794" width="18.85546875" style="3" customWidth="1"/>
    <col min="795" max="795" width="0" style="3" hidden="1" customWidth="1"/>
    <col min="796" max="796" width="14.140625" style="3" customWidth="1"/>
    <col min="797" max="798" width="0" style="3" hidden="1" customWidth="1"/>
    <col min="799" max="799" width="17.28515625" style="3" customWidth="1"/>
    <col min="800" max="801" width="0" style="3" hidden="1" customWidth="1"/>
    <col min="802" max="802" width="18.140625" style="3" customWidth="1"/>
    <col min="803" max="804" width="0" style="3" hidden="1" customWidth="1"/>
    <col min="805" max="805" width="17" style="3" customWidth="1"/>
    <col min="806" max="807" width="0" style="3" hidden="1" customWidth="1"/>
    <col min="808" max="808" width="15.5703125" style="3" customWidth="1"/>
    <col min="809" max="810" width="0" style="3" hidden="1" customWidth="1"/>
    <col min="811" max="811" width="16.28515625" style="3" customWidth="1"/>
    <col min="812" max="812" width="0" style="3" hidden="1" customWidth="1"/>
    <col min="813" max="813" width="14.42578125" style="3" customWidth="1"/>
    <col min="814" max="815" width="0" style="3" hidden="1" customWidth="1"/>
    <col min="816" max="816" width="14.28515625" style="3" customWidth="1"/>
    <col min="817" max="1024" width="9.140625" style="3"/>
    <col min="1025" max="1025" width="4" style="3" bestFit="1" customWidth="1"/>
    <col min="1026" max="1026" width="21.140625" style="3" customWidth="1"/>
    <col min="1027" max="1028" width="6.28515625" style="3" customWidth="1"/>
    <col min="1029" max="1030" width="0" style="3" hidden="1" customWidth="1"/>
    <col min="1031" max="1031" width="20.42578125" style="3" customWidth="1"/>
    <col min="1032" max="1033" width="0" style="3" hidden="1" customWidth="1"/>
    <col min="1034" max="1034" width="16.140625" style="3" customWidth="1"/>
    <col min="1035" max="1036" width="0" style="3" hidden="1" customWidth="1"/>
    <col min="1037" max="1037" width="19.140625" style="3" customWidth="1"/>
    <col min="1038" max="1039" width="0" style="3" hidden="1" customWidth="1"/>
    <col min="1040" max="1040" width="20.85546875" style="3" customWidth="1"/>
    <col min="1041" max="1042" width="0" style="3" hidden="1" customWidth="1"/>
    <col min="1043" max="1043" width="23" style="3" customWidth="1"/>
    <col min="1044" max="1049" width="0" style="3" hidden="1" customWidth="1"/>
    <col min="1050" max="1050" width="18.85546875" style="3" customWidth="1"/>
    <col min="1051" max="1051" width="0" style="3" hidden="1" customWidth="1"/>
    <col min="1052" max="1052" width="14.140625" style="3" customWidth="1"/>
    <col min="1053" max="1054" width="0" style="3" hidden="1" customWidth="1"/>
    <col min="1055" max="1055" width="17.28515625" style="3" customWidth="1"/>
    <col min="1056" max="1057" width="0" style="3" hidden="1" customWidth="1"/>
    <col min="1058" max="1058" width="18.140625" style="3" customWidth="1"/>
    <col min="1059" max="1060" width="0" style="3" hidden="1" customWidth="1"/>
    <col min="1061" max="1061" width="17" style="3" customWidth="1"/>
    <col min="1062" max="1063" width="0" style="3" hidden="1" customWidth="1"/>
    <col min="1064" max="1064" width="15.5703125" style="3" customWidth="1"/>
    <col min="1065" max="1066" width="0" style="3" hidden="1" customWidth="1"/>
    <col min="1067" max="1067" width="16.28515625" style="3" customWidth="1"/>
    <col min="1068" max="1068" width="0" style="3" hidden="1" customWidth="1"/>
    <col min="1069" max="1069" width="14.42578125" style="3" customWidth="1"/>
    <col min="1070" max="1071" width="0" style="3" hidden="1" customWidth="1"/>
    <col min="1072" max="1072" width="14.28515625" style="3" customWidth="1"/>
    <col min="1073" max="1280" width="9.140625" style="3"/>
    <col min="1281" max="1281" width="4" style="3" bestFit="1" customWidth="1"/>
    <col min="1282" max="1282" width="21.140625" style="3" customWidth="1"/>
    <col min="1283" max="1284" width="6.28515625" style="3" customWidth="1"/>
    <col min="1285" max="1286" width="0" style="3" hidden="1" customWidth="1"/>
    <col min="1287" max="1287" width="20.42578125" style="3" customWidth="1"/>
    <col min="1288" max="1289" width="0" style="3" hidden="1" customWidth="1"/>
    <col min="1290" max="1290" width="16.140625" style="3" customWidth="1"/>
    <col min="1291" max="1292" width="0" style="3" hidden="1" customWidth="1"/>
    <col min="1293" max="1293" width="19.140625" style="3" customWidth="1"/>
    <col min="1294" max="1295" width="0" style="3" hidden="1" customWidth="1"/>
    <col min="1296" max="1296" width="20.85546875" style="3" customWidth="1"/>
    <col min="1297" max="1298" width="0" style="3" hidden="1" customWidth="1"/>
    <col min="1299" max="1299" width="23" style="3" customWidth="1"/>
    <col min="1300" max="1305" width="0" style="3" hidden="1" customWidth="1"/>
    <col min="1306" max="1306" width="18.85546875" style="3" customWidth="1"/>
    <col min="1307" max="1307" width="0" style="3" hidden="1" customWidth="1"/>
    <col min="1308" max="1308" width="14.140625" style="3" customWidth="1"/>
    <col min="1309" max="1310" width="0" style="3" hidden="1" customWidth="1"/>
    <col min="1311" max="1311" width="17.28515625" style="3" customWidth="1"/>
    <col min="1312" max="1313" width="0" style="3" hidden="1" customWidth="1"/>
    <col min="1314" max="1314" width="18.140625" style="3" customWidth="1"/>
    <col min="1315" max="1316" width="0" style="3" hidden="1" customWidth="1"/>
    <col min="1317" max="1317" width="17" style="3" customWidth="1"/>
    <col min="1318" max="1319" width="0" style="3" hidden="1" customWidth="1"/>
    <col min="1320" max="1320" width="15.5703125" style="3" customWidth="1"/>
    <col min="1321" max="1322" width="0" style="3" hidden="1" customWidth="1"/>
    <col min="1323" max="1323" width="16.28515625" style="3" customWidth="1"/>
    <col min="1324" max="1324" width="0" style="3" hidden="1" customWidth="1"/>
    <col min="1325" max="1325" width="14.42578125" style="3" customWidth="1"/>
    <col min="1326" max="1327" width="0" style="3" hidden="1" customWidth="1"/>
    <col min="1328" max="1328" width="14.28515625" style="3" customWidth="1"/>
    <col min="1329" max="1536" width="9.140625" style="3"/>
    <col min="1537" max="1537" width="4" style="3" bestFit="1" customWidth="1"/>
    <col min="1538" max="1538" width="21.140625" style="3" customWidth="1"/>
    <col min="1539" max="1540" width="6.28515625" style="3" customWidth="1"/>
    <col min="1541" max="1542" width="0" style="3" hidden="1" customWidth="1"/>
    <col min="1543" max="1543" width="20.42578125" style="3" customWidth="1"/>
    <col min="1544" max="1545" width="0" style="3" hidden="1" customWidth="1"/>
    <col min="1546" max="1546" width="16.140625" style="3" customWidth="1"/>
    <col min="1547" max="1548" width="0" style="3" hidden="1" customWidth="1"/>
    <col min="1549" max="1549" width="19.140625" style="3" customWidth="1"/>
    <col min="1550" max="1551" width="0" style="3" hidden="1" customWidth="1"/>
    <col min="1552" max="1552" width="20.85546875" style="3" customWidth="1"/>
    <col min="1553" max="1554" width="0" style="3" hidden="1" customWidth="1"/>
    <col min="1555" max="1555" width="23" style="3" customWidth="1"/>
    <col min="1556" max="1561" width="0" style="3" hidden="1" customWidth="1"/>
    <col min="1562" max="1562" width="18.85546875" style="3" customWidth="1"/>
    <col min="1563" max="1563" width="0" style="3" hidden="1" customWidth="1"/>
    <col min="1564" max="1564" width="14.140625" style="3" customWidth="1"/>
    <col min="1565" max="1566" width="0" style="3" hidden="1" customWidth="1"/>
    <col min="1567" max="1567" width="17.28515625" style="3" customWidth="1"/>
    <col min="1568" max="1569" width="0" style="3" hidden="1" customWidth="1"/>
    <col min="1570" max="1570" width="18.140625" style="3" customWidth="1"/>
    <col min="1571" max="1572" width="0" style="3" hidden="1" customWidth="1"/>
    <col min="1573" max="1573" width="17" style="3" customWidth="1"/>
    <col min="1574" max="1575" width="0" style="3" hidden="1" customWidth="1"/>
    <col min="1576" max="1576" width="15.5703125" style="3" customWidth="1"/>
    <col min="1577" max="1578" width="0" style="3" hidden="1" customWidth="1"/>
    <col min="1579" max="1579" width="16.28515625" style="3" customWidth="1"/>
    <col min="1580" max="1580" width="0" style="3" hidden="1" customWidth="1"/>
    <col min="1581" max="1581" width="14.42578125" style="3" customWidth="1"/>
    <col min="1582" max="1583" width="0" style="3" hidden="1" customWidth="1"/>
    <col min="1584" max="1584" width="14.28515625" style="3" customWidth="1"/>
    <col min="1585" max="1792" width="9.140625" style="3"/>
    <col min="1793" max="1793" width="4" style="3" bestFit="1" customWidth="1"/>
    <col min="1794" max="1794" width="21.140625" style="3" customWidth="1"/>
    <col min="1795" max="1796" width="6.28515625" style="3" customWidth="1"/>
    <col min="1797" max="1798" width="0" style="3" hidden="1" customWidth="1"/>
    <col min="1799" max="1799" width="20.42578125" style="3" customWidth="1"/>
    <col min="1800" max="1801" width="0" style="3" hidden="1" customWidth="1"/>
    <col min="1802" max="1802" width="16.140625" style="3" customWidth="1"/>
    <col min="1803" max="1804" width="0" style="3" hidden="1" customWidth="1"/>
    <col min="1805" max="1805" width="19.140625" style="3" customWidth="1"/>
    <col min="1806" max="1807" width="0" style="3" hidden="1" customWidth="1"/>
    <col min="1808" max="1808" width="20.85546875" style="3" customWidth="1"/>
    <col min="1809" max="1810" width="0" style="3" hidden="1" customWidth="1"/>
    <col min="1811" max="1811" width="23" style="3" customWidth="1"/>
    <col min="1812" max="1817" width="0" style="3" hidden="1" customWidth="1"/>
    <col min="1818" max="1818" width="18.85546875" style="3" customWidth="1"/>
    <col min="1819" max="1819" width="0" style="3" hidden="1" customWidth="1"/>
    <col min="1820" max="1820" width="14.140625" style="3" customWidth="1"/>
    <col min="1821" max="1822" width="0" style="3" hidden="1" customWidth="1"/>
    <col min="1823" max="1823" width="17.28515625" style="3" customWidth="1"/>
    <col min="1824" max="1825" width="0" style="3" hidden="1" customWidth="1"/>
    <col min="1826" max="1826" width="18.140625" style="3" customWidth="1"/>
    <col min="1827" max="1828" width="0" style="3" hidden="1" customWidth="1"/>
    <col min="1829" max="1829" width="17" style="3" customWidth="1"/>
    <col min="1830" max="1831" width="0" style="3" hidden="1" customWidth="1"/>
    <col min="1832" max="1832" width="15.5703125" style="3" customWidth="1"/>
    <col min="1833" max="1834" width="0" style="3" hidden="1" customWidth="1"/>
    <col min="1835" max="1835" width="16.28515625" style="3" customWidth="1"/>
    <col min="1836" max="1836" width="0" style="3" hidden="1" customWidth="1"/>
    <col min="1837" max="1837" width="14.42578125" style="3" customWidth="1"/>
    <col min="1838" max="1839" width="0" style="3" hidden="1" customWidth="1"/>
    <col min="1840" max="1840" width="14.28515625" style="3" customWidth="1"/>
    <col min="1841" max="2048" width="9.140625" style="3"/>
    <col min="2049" max="2049" width="4" style="3" bestFit="1" customWidth="1"/>
    <col min="2050" max="2050" width="21.140625" style="3" customWidth="1"/>
    <col min="2051" max="2052" width="6.28515625" style="3" customWidth="1"/>
    <col min="2053" max="2054" width="0" style="3" hidden="1" customWidth="1"/>
    <col min="2055" max="2055" width="20.42578125" style="3" customWidth="1"/>
    <col min="2056" max="2057" width="0" style="3" hidden="1" customWidth="1"/>
    <col min="2058" max="2058" width="16.140625" style="3" customWidth="1"/>
    <col min="2059" max="2060" width="0" style="3" hidden="1" customWidth="1"/>
    <col min="2061" max="2061" width="19.140625" style="3" customWidth="1"/>
    <col min="2062" max="2063" width="0" style="3" hidden="1" customWidth="1"/>
    <col min="2064" max="2064" width="20.85546875" style="3" customWidth="1"/>
    <col min="2065" max="2066" width="0" style="3" hidden="1" customWidth="1"/>
    <col min="2067" max="2067" width="23" style="3" customWidth="1"/>
    <col min="2068" max="2073" width="0" style="3" hidden="1" customWidth="1"/>
    <col min="2074" max="2074" width="18.85546875" style="3" customWidth="1"/>
    <col min="2075" max="2075" width="0" style="3" hidden="1" customWidth="1"/>
    <col min="2076" max="2076" width="14.140625" style="3" customWidth="1"/>
    <col min="2077" max="2078" width="0" style="3" hidden="1" customWidth="1"/>
    <col min="2079" max="2079" width="17.28515625" style="3" customWidth="1"/>
    <col min="2080" max="2081" width="0" style="3" hidden="1" customWidth="1"/>
    <col min="2082" max="2082" width="18.140625" style="3" customWidth="1"/>
    <col min="2083" max="2084" width="0" style="3" hidden="1" customWidth="1"/>
    <col min="2085" max="2085" width="17" style="3" customWidth="1"/>
    <col min="2086" max="2087" width="0" style="3" hidden="1" customWidth="1"/>
    <col min="2088" max="2088" width="15.5703125" style="3" customWidth="1"/>
    <col min="2089" max="2090" width="0" style="3" hidden="1" customWidth="1"/>
    <col min="2091" max="2091" width="16.28515625" style="3" customWidth="1"/>
    <col min="2092" max="2092" width="0" style="3" hidden="1" customWidth="1"/>
    <col min="2093" max="2093" width="14.42578125" style="3" customWidth="1"/>
    <col min="2094" max="2095" width="0" style="3" hidden="1" customWidth="1"/>
    <col min="2096" max="2096" width="14.28515625" style="3" customWidth="1"/>
    <col min="2097" max="2304" width="9.140625" style="3"/>
    <col min="2305" max="2305" width="4" style="3" bestFit="1" customWidth="1"/>
    <col min="2306" max="2306" width="21.140625" style="3" customWidth="1"/>
    <col min="2307" max="2308" width="6.28515625" style="3" customWidth="1"/>
    <col min="2309" max="2310" width="0" style="3" hidden="1" customWidth="1"/>
    <col min="2311" max="2311" width="20.42578125" style="3" customWidth="1"/>
    <col min="2312" max="2313" width="0" style="3" hidden="1" customWidth="1"/>
    <col min="2314" max="2314" width="16.140625" style="3" customWidth="1"/>
    <col min="2315" max="2316" width="0" style="3" hidden="1" customWidth="1"/>
    <col min="2317" max="2317" width="19.140625" style="3" customWidth="1"/>
    <col min="2318" max="2319" width="0" style="3" hidden="1" customWidth="1"/>
    <col min="2320" max="2320" width="20.85546875" style="3" customWidth="1"/>
    <col min="2321" max="2322" width="0" style="3" hidden="1" customWidth="1"/>
    <col min="2323" max="2323" width="23" style="3" customWidth="1"/>
    <col min="2324" max="2329" width="0" style="3" hidden="1" customWidth="1"/>
    <col min="2330" max="2330" width="18.85546875" style="3" customWidth="1"/>
    <col min="2331" max="2331" width="0" style="3" hidden="1" customWidth="1"/>
    <col min="2332" max="2332" width="14.140625" style="3" customWidth="1"/>
    <col min="2333" max="2334" width="0" style="3" hidden="1" customWidth="1"/>
    <col min="2335" max="2335" width="17.28515625" style="3" customWidth="1"/>
    <col min="2336" max="2337" width="0" style="3" hidden="1" customWidth="1"/>
    <col min="2338" max="2338" width="18.140625" style="3" customWidth="1"/>
    <col min="2339" max="2340" width="0" style="3" hidden="1" customWidth="1"/>
    <col min="2341" max="2341" width="17" style="3" customWidth="1"/>
    <col min="2342" max="2343" width="0" style="3" hidden="1" customWidth="1"/>
    <col min="2344" max="2344" width="15.5703125" style="3" customWidth="1"/>
    <col min="2345" max="2346" width="0" style="3" hidden="1" customWidth="1"/>
    <col min="2347" max="2347" width="16.28515625" style="3" customWidth="1"/>
    <col min="2348" max="2348" width="0" style="3" hidden="1" customWidth="1"/>
    <col min="2349" max="2349" width="14.42578125" style="3" customWidth="1"/>
    <col min="2350" max="2351" width="0" style="3" hidden="1" customWidth="1"/>
    <col min="2352" max="2352" width="14.28515625" style="3" customWidth="1"/>
    <col min="2353" max="2560" width="9.140625" style="3"/>
    <col min="2561" max="2561" width="4" style="3" bestFit="1" customWidth="1"/>
    <col min="2562" max="2562" width="21.140625" style="3" customWidth="1"/>
    <col min="2563" max="2564" width="6.28515625" style="3" customWidth="1"/>
    <col min="2565" max="2566" width="0" style="3" hidden="1" customWidth="1"/>
    <col min="2567" max="2567" width="20.42578125" style="3" customWidth="1"/>
    <col min="2568" max="2569" width="0" style="3" hidden="1" customWidth="1"/>
    <col min="2570" max="2570" width="16.140625" style="3" customWidth="1"/>
    <col min="2571" max="2572" width="0" style="3" hidden="1" customWidth="1"/>
    <col min="2573" max="2573" width="19.140625" style="3" customWidth="1"/>
    <col min="2574" max="2575" width="0" style="3" hidden="1" customWidth="1"/>
    <col min="2576" max="2576" width="20.85546875" style="3" customWidth="1"/>
    <col min="2577" max="2578" width="0" style="3" hidden="1" customWidth="1"/>
    <col min="2579" max="2579" width="23" style="3" customWidth="1"/>
    <col min="2580" max="2585" width="0" style="3" hidden="1" customWidth="1"/>
    <col min="2586" max="2586" width="18.85546875" style="3" customWidth="1"/>
    <col min="2587" max="2587" width="0" style="3" hidden="1" customWidth="1"/>
    <col min="2588" max="2588" width="14.140625" style="3" customWidth="1"/>
    <col min="2589" max="2590" width="0" style="3" hidden="1" customWidth="1"/>
    <col min="2591" max="2591" width="17.28515625" style="3" customWidth="1"/>
    <col min="2592" max="2593" width="0" style="3" hidden="1" customWidth="1"/>
    <col min="2594" max="2594" width="18.140625" style="3" customWidth="1"/>
    <col min="2595" max="2596" width="0" style="3" hidden="1" customWidth="1"/>
    <col min="2597" max="2597" width="17" style="3" customWidth="1"/>
    <col min="2598" max="2599" width="0" style="3" hidden="1" customWidth="1"/>
    <col min="2600" max="2600" width="15.5703125" style="3" customWidth="1"/>
    <col min="2601" max="2602" width="0" style="3" hidden="1" customWidth="1"/>
    <col min="2603" max="2603" width="16.28515625" style="3" customWidth="1"/>
    <col min="2604" max="2604" width="0" style="3" hidden="1" customWidth="1"/>
    <col min="2605" max="2605" width="14.42578125" style="3" customWidth="1"/>
    <col min="2606" max="2607" width="0" style="3" hidden="1" customWidth="1"/>
    <col min="2608" max="2608" width="14.28515625" style="3" customWidth="1"/>
    <col min="2609" max="2816" width="9.140625" style="3"/>
    <col min="2817" max="2817" width="4" style="3" bestFit="1" customWidth="1"/>
    <col min="2818" max="2818" width="21.140625" style="3" customWidth="1"/>
    <col min="2819" max="2820" width="6.28515625" style="3" customWidth="1"/>
    <col min="2821" max="2822" width="0" style="3" hidden="1" customWidth="1"/>
    <col min="2823" max="2823" width="20.42578125" style="3" customWidth="1"/>
    <col min="2824" max="2825" width="0" style="3" hidden="1" customWidth="1"/>
    <col min="2826" max="2826" width="16.140625" style="3" customWidth="1"/>
    <col min="2827" max="2828" width="0" style="3" hidden="1" customWidth="1"/>
    <col min="2829" max="2829" width="19.140625" style="3" customWidth="1"/>
    <col min="2830" max="2831" width="0" style="3" hidden="1" customWidth="1"/>
    <col min="2832" max="2832" width="20.85546875" style="3" customWidth="1"/>
    <col min="2833" max="2834" width="0" style="3" hidden="1" customWidth="1"/>
    <col min="2835" max="2835" width="23" style="3" customWidth="1"/>
    <col min="2836" max="2841" width="0" style="3" hidden="1" customWidth="1"/>
    <col min="2842" max="2842" width="18.85546875" style="3" customWidth="1"/>
    <col min="2843" max="2843" width="0" style="3" hidden="1" customWidth="1"/>
    <col min="2844" max="2844" width="14.140625" style="3" customWidth="1"/>
    <col min="2845" max="2846" width="0" style="3" hidden="1" customWidth="1"/>
    <col min="2847" max="2847" width="17.28515625" style="3" customWidth="1"/>
    <col min="2848" max="2849" width="0" style="3" hidden="1" customWidth="1"/>
    <col min="2850" max="2850" width="18.140625" style="3" customWidth="1"/>
    <col min="2851" max="2852" width="0" style="3" hidden="1" customWidth="1"/>
    <col min="2853" max="2853" width="17" style="3" customWidth="1"/>
    <col min="2854" max="2855" width="0" style="3" hidden="1" customWidth="1"/>
    <col min="2856" max="2856" width="15.5703125" style="3" customWidth="1"/>
    <col min="2857" max="2858" width="0" style="3" hidden="1" customWidth="1"/>
    <col min="2859" max="2859" width="16.28515625" style="3" customWidth="1"/>
    <col min="2860" max="2860" width="0" style="3" hidden="1" customWidth="1"/>
    <col min="2861" max="2861" width="14.42578125" style="3" customWidth="1"/>
    <col min="2862" max="2863" width="0" style="3" hidden="1" customWidth="1"/>
    <col min="2864" max="2864" width="14.28515625" style="3" customWidth="1"/>
    <col min="2865" max="3072" width="9.140625" style="3"/>
    <col min="3073" max="3073" width="4" style="3" bestFit="1" customWidth="1"/>
    <col min="3074" max="3074" width="21.140625" style="3" customWidth="1"/>
    <col min="3075" max="3076" width="6.28515625" style="3" customWidth="1"/>
    <col min="3077" max="3078" width="0" style="3" hidden="1" customWidth="1"/>
    <col min="3079" max="3079" width="20.42578125" style="3" customWidth="1"/>
    <col min="3080" max="3081" width="0" style="3" hidden="1" customWidth="1"/>
    <col min="3082" max="3082" width="16.140625" style="3" customWidth="1"/>
    <col min="3083" max="3084" width="0" style="3" hidden="1" customWidth="1"/>
    <col min="3085" max="3085" width="19.140625" style="3" customWidth="1"/>
    <col min="3086" max="3087" width="0" style="3" hidden="1" customWidth="1"/>
    <col min="3088" max="3088" width="20.85546875" style="3" customWidth="1"/>
    <col min="3089" max="3090" width="0" style="3" hidden="1" customWidth="1"/>
    <col min="3091" max="3091" width="23" style="3" customWidth="1"/>
    <col min="3092" max="3097" width="0" style="3" hidden="1" customWidth="1"/>
    <col min="3098" max="3098" width="18.85546875" style="3" customWidth="1"/>
    <col min="3099" max="3099" width="0" style="3" hidden="1" customWidth="1"/>
    <col min="3100" max="3100" width="14.140625" style="3" customWidth="1"/>
    <col min="3101" max="3102" width="0" style="3" hidden="1" customWidth="1"/>
    <col min="3103" max="3103" width="17.28515625" style="3" customWidth="1"/>
    <col min="3104" max="3105" width="0" style="3" hidden="1" customWidth="1"/>
    <col min="3106" max="3106" width="18.140625" style="3" customWidth="1"/>
    <col min="3107" max="3108" width="0" style="3" hidden="1" customWidth="1"/>
    <col min="3109" max="3109" width="17" style="3" customWidth="1"/>
    <col min="3110" max="3111" width="0" style="3" hidden="1" customWidth="1"/>
    <col min="3112" max="3112" width="15.5703125" style="3" customWidth="1"/>
    <col min="3113" max="3114" width="0" style="3" hidden="1" customWidth="1"/>
    <col min="3115" max="3115" width="16.28515625" style="3" customWidth="1"/>
    <col min="3116" max="3116" width="0" style="3" hidden="1" customWidth="1"/>
    <col min="3117" max="3117" width="14.42578125" style="3" customWidth="1"/>
    <col min="3118" max="3119" width="0" style="3" hidden="1" customWidth="1"/>
    <col min="3120" max="3120" width="14.28515625" style="3" customWidth="1"/>
    <col min="3121" max="3328" width="9.140625" style="3"/>
    <col min="3329" max="3329" width="4" style="3" bestFit="1" customWidth="1"/>
    <col min="3330" max="3330" width="21.140625" style="3" customWidth="1"/>
    <col min="3331" max="3332" width="6.28515625" style="3" customWidth="1"/>
    <col min="3333" max="3334" width="0" style="3" hidden="1" customWidth="1"/>
    <col min="3335" max="3335" width="20.42578125" style="3" customWidth="1"/>
    <col min="3336" max="3337" width="0" style="3" hidden="1" customWidth="1"/>
    <col min="3338" max="3338" width="16.140625" style="3" customWidth="1"/>
    <col min="3339" max="3340" width="0" style="3" hidden="1" customWidth="1"/>
    <col min="3341" max="3341" width="19.140625" style="3" customWidth="1"/>
    <col min="3342" max="3343" width="0" style="3" hidden="1" customWidth="1"/>
    <col min="3344" max="3344" width="20.85546875" style="3" customWidth="1"/>
    <col min="3345" max="3346" width="0" style="3" hidden="1" customWidth="1"/>
    <col min="3347" max="3347" width="23" style="3" customWidth="1"/>
    <col min="3348" max="3353" width="0" style="3" hidden="1" customWidth="1"/>
    <col min="3354" max="3354" width="18.85546875" style="3" customWidth="1"/>
    <col min="3355" max="3355" width="0" style="3" hidden="1" customWidth="1"/>
    <col min="3356" max="3356" width="14.140625" style="3" customWidth="1"/>
    <col min="3357" max="3358" width="0" style="3" hidden="1" customWidth="1"/>
    <col min="3359" max="3359" width="17.28515625" style="3" customWidth="1"/>
    <col min="3360" max="3361" width="0" style="3" hidden="1" customWidth="1"/>
    <col min="3362" max="3362" width="18.140625" style="3" customWidth="1"/>
    <col min="3363" max="3364" width="0" style="3" hidden="1" customWidth="1"/>
    <col min="3365" max="3365" width="17" style="3" customWidth="1"/>
    <col min="3366" max="3367" width="0" style="3" hidden="1" customWidth="1"/>
    <col min="3368" max="3368" width="15.5703125" style="3" customWidth="1"/>
    <col min="3369" max="3370" width="0" style="3" hidden="1" customWidth="1"/>
    <col min="3371" max="3371" width="16.28515625" style="3" customWidth="1"/>
    <col min="3372" max="3372" width="0" style="3" hidden="1" customWidth="1"/>
    <col min="3373" max="3373" width="14.42578125" style="3" customWidth="1"/>
    <col min="3374" max="3375" width="0" style="3" hidden="1" customWidth="1"/>
    <col min="3376" max="3376" width="14.28515625" style="3" customWidth="1"/>
    <col min="3377" max="3584" width="9.140625" style="3"/>
    <col min="3585" max="3585" width="4" style="3" bestFit="1" customWidth="1"/>
    <col min="3586" max="3586" width="21.140625" style="3" customWidth="1"/>
    <col min="3587" max="3588" width="6.28515625" style="3" customWidth="1"/>
    <col min="3589" max="3590" width="0" style="3" hidden="1" customWidth="1"/>
    <col min="3591" max="3591" width="20.42578125" style="3" customWidth="1"/>
    <col min="3592" max="3593" width="0" style="3" hidden="1" customWidth="1"/>
    <col min="3594" max="3594" width="16.140625" style="3" customWidth="1"/>
    <col min="3595" max="3596" width="0" style="3" hidden="1" customWidth="1"/>
    <col min="3597" max="3597" width="19.140625" style="3" customWidth="1"/>
    <col min="3598" max="3599" width="0" style="3" hidden="1" customWidth="1"/>
    <col min="3600" max="3600" width="20.85546875" style="3" customWidth="1"/>
    <col min="3601" max="3602" width="0" style="3" hidden="1" customWidth="1"/>
    <col min="3603" max="3603" width="23" style="3" customWidth="1"/>
    <col min="3604" max="3609" width="0" style="3" hidden="1" customWidth="1"/>
    <col min="3610" max="3610" width="18.85546875" style="3" customWidth="1"/>
    <col min="3611" max="3611" width="0" style="3" hidden="1" customWidth="1"/>
    <col min="3612" max="3612" width="14.140625" style="3" customWidth="1"/>
    <col min="3613" max="3614" width="0" style="3" hidden="1" customWidth="1"/>
    <col min="3615" max="3615" width="17.28515625" style="3" customWidth="1"/>
    <col min="3616" max="3617" width="0" style="3" hidden="1" customWidth="1"/>
    <col min="3618" max="3618" width="18.140625" style="3" customWidth="1"/>
    <col min="3619" max="3620" width="0" style="3" hidden="1" customWidth="1"/>
    <col min="3621" max="3621" width="17" style="3" customWidth="1"/>
    <col min="3622" max="3623" width="0" style="3" hidden="1" customWidth="1"/>
    <col min="3624" max="3624" width="15.5703125" style="3" customWidth="1"/>
    <col min="3625" max="3626" width="0" style="3" hidden="1" customWidth="1"/>
    <col min="3627" max="3627" width="16.28515625" style="3" customWidth="1"/>
    <col min="3628" max="3628" width="0" style="3" hidden="1" customWidth="1"/>
    <col min="3629" max="3629" width="14.42578125" style="3" customWidth="1"/>
    <col min="3630" max="3631" width="0" style="3" hidden="1" customWidth="1"/>
    <col min="3632" max="3632" width="14.28515625" style="3" customWidth="1"/>
    <col min="3633" max="3840" width="9.140625" style="3"/>
    <col min="3841" max="3841" width="4" style="3" bestFit="1" customWidth="1"/>
    <col min="3842" max="3842" width="21.140625" style="3" customWidth="1"/>
    <col min="3843" max="3844" width="6.28515625" style="3" customWidth="1"/>
    <col min="3845" max="3846" width="0" style="3" hidden="1" customWidth="1"/>
    <col min="3847" max="3847" width="20.42578125" style="3" customWidth="1"/>
    <col min="3848" max="3849" width="0" style="3" hidden="1" customWidth="1"/>
    <col min="3850" max="3850" width="16.140625" style="3" customWidth="1"/>
    <col min="3851" max="3852" width="0" style="3" hidden="1" customWidth="1"/>
    <col min="3853" max="3853" width="19.140625" style="3" customWidth="1"/>
    <col min="3854" max="3855" width="0" style="3" hidden="1" customWidth="1"/>
    <col min="3856" max="3856" width="20.85546875" style="3" customWidth="1"/>
    <col min="3857" max="3858" width="0" style="3" hidden="1" customWidth="1"/>
    <col min="3859" max="3859" width="23" style="3" customWidth="1"/>
    <col min="3860" max="3865" width="0" style="3" hidden="1" customWidth="1"/>
    <col min="3866" max="3866" width="18.85546875" style="3" customWidth="1"/>
    <col min="3867" max="3867" width="0" style="3" hidden="1" customWidth="1"/>
    <col min="3868" max="3868" width="14.140625" style="3" customWidth="1"/>
    <col min="3869" max="3870" width="0" style="3" hidden="1" customWidth="1"/>
    <col min="3871" max="3871" width="17.28515625" style="3" customWidth="1"/>
    <col min="3872" max="3873" width="0" style="3" hidden="1" customWidth="1"/>
    <col min="3874" max="3874" width="18.140625" style="3" customWidth="1"/>
    <col min="3875" max="3876" width="0" style="3" hidden="1" customWidth="1"/>
    <col min="3877" max="3877" width="17" style="3" customWidth="1"/>
    <col min="3878" max="3879" width="0" style="3" hidden="1" customWidth="1"/>
    <col min="3880" max="3880" width="15.5703125" style="3" customWidth="1"/>
    <col min="3881" max="3882" width="0" style="3" hidden="1" customWidth="1"/>
    <col min="3883" max="3883" width="16.28515625" style="3" customWidth="1"/>
    <col min="3884" max="3884" width="0" style="3" hidden="1" customWidth="1"/>
    <col min="3885" max="3885" width="14.42578125" style="3" customWidth="1"/>
    <col min="3886" max="3887" width="0" style="3" hidden="1" customWidth="1"/>
    <col min="3888" max="3888" width="14.28515625" style="3" customWidth="1"/>
    <col min="3889" max="4096" width="9.140625" style="3"/>
    <col min="4097" max="4097" width="4" style="3" bestFit="1" customWidth="1"/>
    <col min="4098" max="4098" width="21.140625" style="3" customWidth="1"/>
    <col min="4099" max="4100" width="6.28515625" style="3" customWidth="1"/>
    <col min="4101" max="4102" width="0" style="3" hidden="1" customWidth="1"/>
    <col min="4103" max="4103" width="20.42578125" style="3" customWidth="1"/>
    <col min="4104" max="4105" width="0" style="3" hidden="1" customWidth="1"/>
    <col min="4106" max="4106" width="16.140625" style="3" customWidth="1"/>
    <col min="4107" max="4108" width="0" style="3" hidden="1" customWidth="1"/>
    <col min="4109" max="4109" width="19.140625" style="3" customWidth="1"/>
    <col min="4110" max="4111" width="0" style="3" hidden="1" customWidth="1"/>
    <col min="4112" max="4112" width="20.85546875" style="3" customWidth="1"/>
    <col min="4113" max="4114" width="0" style="3" hidden="1" customWidth="1"/>
    <col min="4115" max="4115" width="23" style="3" customWidth="1"/>
    <col min="4116" max="4121" width="0" style="3" hidden="1" customWidth="1"/>
    <col min="4122" max="4122" width="18.85546875" style="3" customWidth="1"/>
    <col min="4123" max="4123" width="0" style="3" hidden="1" customWidth="1"/>
    <col min="4124" max="4124" width="14.140625" style="3" customWidth="1"/>
    <col min="4125" max="4126" width="0" style="3" hidden="1" customWidth="1"/>
    <col min="4127" max="4127" width="17.28515625" style="3" customWidth="1"/>
    <col min="4128" max="4129" width="0" style="3" hidden="1" customWidth="1"/>
    <col min="4130" max="4130" width="18.140625" style="3" customWidth="1"/>
    <col min="4131" max="4132" width="0" style="3" hidden="1" customWidth="1"/>
    <col min="4133" max="4133" width="17" style="3" customWidth="1"/>
    <col min="4134" max="4135" width="0" style="3" hidden="1" customWidth="1"/>
    <col min="4136" max="4136" width="15.5703125" style="3" customWidth="1"/>
    <col min="4137" max="4138" width="0" style="3" hidden="1" customWidth="1"/>
    <col min="4139" max="4139" width="16.28515625" style="3" customWidth="1"/>
    <col min="4140" max="4140" width="0" style="3" hidden="1" customWidth="1"/>
    <col min="4141" max="4141" width="14.42578125" style="3" customWidth="1"/>
    <col min="4142" max="4143" width="0" style="3" hidden="1" customWidth="1"/>
    <col min="4144" max="4144" width="14.28515625" style="3" customWidth="1"/>
    <col min="4145" max="4352" width="9.140625" style="3"/>
    <col min="4353" max="4353" width="4" style="3" bestFit="1" customWidth="1"/>
    <col min="4354" max="4354" width="21.140625" style="3" customWidth="1"/>
    <col min="4355" max="4356" width="6.28515625" style="3" customWidth="1"/>
    <col min="4357" max="4358" width="0" style="3" hidden="1" customWidth="1"/>
    <col min="4359" max="4359" width="20.42578125" style="3" customWidth="1"/>
    <col min="4360" max="4361" width="0" style="3" hidden="1" customWidth="1"/>
    <col min="4362" max="4362" width="16.140625" style="3" customWidth="1"/>
    <col min="4363" max="4364" width="0" style="3" hidden="1" customWidth="1"/>
    <col min="4365" max="4365" width="19.140625" style="3" customWidth="1"/>
    <col min="4366" max="4367" width="0" style="3" hidden="1" customWidth="1"/>
    <col min="4368" max="4368" width="20.85546875" style="3" customWidth="1"/>
    <col min="4369" max="4370" width="0" style="3" hidden="1" customWidth="1"/>
    <col min="4371" max="4371" width="23" style="3" customWidth="1"/>
    <col min="4372" max="4377" width="0" style="3" hidden="1" customWidth="1"/>
    <col min="4378" max="4378" width="18.85546875" style="3" customWidth="1"/>
    <col min="4379" max="4379" width="0" style="3" hidden="1" customWidth="1"/>
    <col min="4380" max="4380" width="14.140625" style="3" customWidth="1"/>
    <col min="4381" max="4382" width="0" style="3" hidden="1" customWidth="1"/>
    <col min="4383" max="4383" width="17.28515625" style="3" customWidth="1"/>
    <col min="4384" max="4385" width="0" style="3" hidden="1" customWidth="1"/>
    <col min="4386" max="4386" width="18.140625" style="3" customWidth="1"/>
    <col min="4387" max="4388" width="0" style="3" hidden="1" customWidth="1"/>
    <col min="4389" max="4389" width="17" style="3" customWidth="1"/>
    <col min="4390" max="4391" width="0" style="3" hidden="1" customWidth="1"/>
    <col min="4392" max="4392" width="15.5703125" style="3" customWidth="1"/>
    <col min="4393" max="4394" width="0" style="3" hidden="1" customWidth="1"/>
    <col min="4395" max="4395" width="16.28515625" style="3" customWidth="1"/>
    <col min="4396" max="4396" width="0" style="3" hidden="1" customWidth="1"/>
    <col min="4397" max="4397" width="14.42578125" style="3" customWidth="1"/>
    <col min="4398" max="4399" width="0" style="3" hidden="1" customWidth="1"/>
    <col min="4400" max="4400" width="14.28515625" style="3" customWidth="1"/>
    <col min="4401" max="4608" width="9.140625" style="3"/>
    <col min="4609" max="4609" width="4" style="3" bestFit="1" customWidth="1"/>
    <col min="4610" max="4610" width="21.140625" style="3" customWidth="1"/>
    <col min="4611" max="4612" width="6.28515625" style="3" customWidth="1"/>
    <col min="4613" max="4614" width="0" style="3" hidden="1" customWidth="1"/>
    <col min="4615" max="4615" width="20.42578125" style="3" customWidth="1"/>
    <col min="4616" max="4617" width="0" style="3" hidden="1" customWidth="1"/>
    <col min="4618" max="4618" width="16.140625" style="3" customWidth="1"/>
    <col min="4619" max="4620" width="0" style="3" hidden="1" customWidth="1"/>
    <col min="4621" max="4621" width="19.140625" style="3" customWidth="1"/>
    <col min="4622" max="4623" width="0" style="3" hidden="1" customWidth="1"/>
    <col min="4624" max="4624" width="20.85546875" style="3" customWidth="1"/>
    <col min="4625" max="4626" width="0" style="3" hidden="1" customWidth="1"/>
    <col min="4627" max="4627" width="23" style="3" customWidth="1"/>
    <col min="4628" max="4633" width="0" style="3" hidden="1" customWidth="1"/>
    <col min="4634" max="4634" width="18.85546875" style="3" customWidth="1"/>
    <col min="4635" max="4635" width="0" style="3" hidden="1" customWidth="1"/>
    <col min="4636" max="4636" width="14.140625" style="3" customWidth="1"/>
    <col min="4637" max="4638" width="0" style="3" hidden="1" customWidth="1"/>
    <col min="4639" max="4639" width="17.28515625" style="3" customWidth="1"/>
    <col min="4640" max="4641" width="0" style="3" hidden="1" customWidth="1"/>
    <col min="4642" max="4642" width="18.140625" style="3" customWidth="1"/>
    <col min="4643" max="4644" width="0" style="3" hidden="1" customWidth="1"/>
    <col min="4645" max="4645" width="17" style="3" customWidth="1"/>
    <col min="4646" max="4647" width="0" style="3" hidden="1" customWidth="1"/>
    <col min="4648" max="4648" width="15.5703125" style="3" customWidth="1"/>
    <col min="4649" max="4650" width="0" style="3" hidden="1" customWidth="1"/>
    <col min="4651" max="4651" width="16.28515625" style="3" customWidth="1"/>
    <col min="4652" max="4652" width="0" style="3" hidden="1" customWidth="1"/>
    <col min="4653" max="4653" width="14.42578125" style="3" customWidth="1"/>
    <col min="4654" max="4655" width="0" style="3" hidden="1" customWidth="1"/>
    <col min="4656" max="4656" width="14.28515625" style="3" customWidth="1"/>
    <col min="4657" max="4864" width="9.140625" style="3"/>
    <col min="4865" max="4865" width="4" style="3" bestFit="1" customWidth="1"/>
    <col min="4866" max="4866" width="21.140625" style="3" customWidth="1"/>
    <col min="4867" max="4868" width="6.28515625" style="3" customWidth="1"/>
    <col min="4869" max="4870" width="0" style="3" hidden="1" customWidth="1"/>
    <col min="4871" max="4871" width="20.42578125" style="3" customWidth="1"/>
    <col min="4872" max="4873" width="0" style="3" hidden="1" customWidth="1"/>
    <col min="4874" max="4874" width="16.140625" style="3" customWidth="1"/>
    <col min="4875" max="4876" width="0" style="3" hidden="1" customWidth="1"/>
    <col min="4877" max="4877" width="19.140625" style="3" customWidth="1"/>
    <col min="4878" max="4879" width="0" style="3" hidden="1" customWidth="1"/>
    <col min="4880" max="4880" width="20.85546875" style="3" customWidth="1"/>
    <col min="4881" max="4882" width="0" style="3" hidden="1" customWidth="1"/>
    <col min="4883" max="4883" width="23" style="3" customWidth="1"/>
    <col min="4884" max="4889" width="0" style="3" hidden="1" customWidth="1"/>
    <col min="4890" max="4890" width="18.85546875" style="3" customWidth="1"/>
    <col min="4891" max="4891" width="0" style="3" hidden="1" customWidth="1"/>
    <col min="4892" max="4892" width="14.140625" style="3" customWidth="1"/>
    <col min="4893" max="4894" width="0" style="3" hidden="1" customWidth="1"/>
    <col min="4895" max="4895" width="17.28515625" style="3" customWidth="1"/>
    <col min="4896" max="4897" width="0" style="3" hidden="1" customWidth="1"/>
    <col min="4898" max="4898" width="18.140625" style="3" customWidth="1"/>
    <col min="4899" max="4900" width="0" style="3" hidden="1" customWidth="1"/>
    <col min="4901" max="4901" width="17" style="3" customWidth="1"/>
    <col min="4902" max="4903" width="0" style="3" hidden="1" customWidth="1"/>
    <col min="4904" max="4904" width="15.5703125" style="3" customWidth="1"/>
    <col min="4905" max="4906" width="0" style="3" hidden="1" customWidth="1"/>
    <col min="4907" max="4907" width="16.28515625" style="3" customWidth="1"/>
    <col min="4908" max="4908" width="0" style="3" hidden="1" customWidth="1"/>
    <col min="4909" max="4909" width="14.42578125" style="3" customWidth="1"/>
    <col min="4910" max="4911" width="0" style="3" hidden="1" customWidth="1"/>
    <col min="4912" max="4912" width="14.28515625" style="3" customWidth="1"/>
    <col min="4913" max="5120" width="9.140625" style="3"/>
    <col min="5121" max="5121" width="4" style="3" bestFit="1" customWidth="1"/>
    <col min="5122" max="5122" width="21.140625" style="3" customWidth="1"/>
    <col min="5123" max="5124" width="6.28515625" style="3" customWidth="1"/>
    <col min="5125" max="5126" width="0" style="3" hidden="1" customWidth="1"/>
    <col min="5127" max="5127" width="20.42578125" style="3" customWidth="1"/>
    <col min="5128" max="5129" width="0" style="3" hidden="1" customWidth="1"/>
    <col min="5130" max="5130" width="16.140625" style="3" customWidth="1"/>
    <col min="5131" max="5132" width="0" style="3" hidden="1" customWidth="1"/>
    <col min="5133" max="5133" width="19.140625" style="3" customWidth="1"/>
    <col min="5134" max="5135" width="0" style="3" hidden="1" customWidth="1"/>
    <col min="5136" max="5136" width="20.85546875" style="3" customWidth="1"/>
    <col min="5137" max="5138" width="0" style="3" hidden="1" customWidth="1"/>
    <col min="5139" max="5139" width="23" style="3" customWidth="1"/>
    <col min="5140" max="5145" width="0" style="3" hidden="1" customWidth="1"/>
    <col min="5146" max="5146" width="18.85546875" style="3" customWidth="1"/>
    <col min="5147" max="5147" width="0" style="3" hidden="1" customWidth="1"/>
    <col min="5148" max="5148" width="14.140625" style="3" customWidth="1"/>
    <col min="5149" max="5150" width="0" style="3" hidden="1" customWidth="1"/>
    <col min="5151" max="5151" width="17.28515625" style="3" customWidth="1"/>
    <col min="5152" max="5153" width="0" style="3" hidden="1" customWidth="1"/>
    <col min="5154" max="5154" width="18.140625" style="3" customWidth="1"/>
    <col min="5155" max="5156" width="0" style="3" hidden="1" customWidth="1"/>
    <col min="5157" max="5157" width="17" style="3" customWidth="1"/>
    <col min="5158" max="5159" width="0" style="3" hidden="1" customWidth="1"/>
    <col min="5160" max="5160" width="15.5703125" style="3" customWidth="1"/>
    <col min="5161" max="5162" width="0" style="3" hidden="1" customWidth="1"/>
    <col min="5163" max="5163" width="16.28515625" style="3" customWidth="1"/>
    <col min="5164" max="5164" width="0" style="3" hidden="1" customWidth="1"/>
    <col min="5165" max="5165" width="14.42578125" style="3" customWidth="1"/>
    <col min="5166" max="5167" width="0" style="3" hidden="1" customWidth="1"/>
    <col min="5168" max="5168" width="14.28515625" style="3" customWidth="1"/>
    <col min="5169" max="5376" width="9.140625" style="3"/>
    <col min="5377" max="5377" width="4" style="3" bestFit="1" customWidth="1"/>
    <col min="5378" max="5378" width="21.140625" style="3" customWidth="1"/>
    <col min="5379" max="5380" width="6.28515625" style="3" customWidth="1"/>
    <col min="5381" max="5382" width="0" style="3" hidden="1" customWidth="1"/>
    <col min="5383" max="5383" width="20.42578125" style="3" customWidth="1"/>
    <col min="5384" max="5385" width="0" style="3" hidden="1" customWidth="1"/>
    <col min="5386" max="5386" width="16.140625" style="3" customWidth="1"/>
    <col min="5387" max="5388" width="0" style="3" hidden="1" customWidth="1"/>
    <col min="5389" max="5389" width="19.140625" style="3" customWidth="1"/>
    <col min="5390" max="5391" width="0" style="3" hidden="1" customWidth="1"/>
    <col min="5392" max="5392" width="20.85546875" style="3" customWidth="1"/>
    <col min="5393" max="5394" width="0" style="3" hidden="1" customWidth="1"/>
    <col min="5395" max="5395" width="23" style="3" customWidth="1"/>
    <col min="5396" max="5401" width="0" style="3" hidden="1" customWidth="1"/>
    <col min="5402" max="5402" width="18.85546875" style="3" customWidth="1"/>
    <col min="5403" max="5403" width="0" style="3" hidden="1" customWidth="1"/>
    <col min="5404" max="5404" width="14.140625" style="3" customWidth="1"/>
    <col min="5405" max="5406" width="0" style="3" hidden="1" customWidth="1"/>
    <col min="5407" max="5407" width="17.28515625" style="3" customWidth="1"/>
    <col min="5408" max="5409" width="0" style="3" hidden="1" customWidth="1"/>
    <col min="5410" max="5410" width="18.140625" style="3" customWidth="1"/>
    <col min="5411" max="5412" width="0" style="3" hidden="1" customWidth="1"/>
    <col min="5413" max="5413" width="17" style="3" customWidth="1"/>
    <col min="5414" max="5415" width="0" style="3" hidden="1" customWidth="1"/>
    <col min="5416" max="5416" width="15.5703125" style="3" customWidth="1"/>
    <col min="5417" max="5418" width="0" style="3" hidden="1" customWidth="1"/>
    <col min="5419" max="5419" width="16.28515625" style="3" customWidth="1"/>
    <col min="5420" max="5420" width="0" style="3" hidden="1" customWidth="1"/>
    <col min="5421" max="5421" width="14.42578125" style="3" customWidth="1"/>
    <col min="5422" max="5423" width="0" style="3" hidden="1" customWidth="1"/>
    <col min="5424" max="5424" width="14.28515625" style="3" customWidth="1"/>
    <col min="5425" max="5632" width="9.140625" style="3"/>
    <col min="5633" max="5633" width="4" style="3" bestFit="1" customWidth="1"/>
    <col min="5634" max="5634" width="21.140625" style="3" customWidth="1"/>
    <col min="5635" max="5636" width="6.28515625" style="3" customWidth="1"/>
    <col min="5637" max="5638" width="0" style="3" hidden="1" customWidth="1"/>
    <col min="5639" max="5639" width="20.42578125" style="3" customWidth="1"/>
    <col min="5640" max="5641" width="0" style="3" hidden="1" customWidth="1"/>
    <col min="5642" max="5642" width="16.140625" style="3" customWidth="1"/>
    <col min="5643" max="5644" width="0" style="3" hidden="1" customWidth="1"/>
    <col min="5645" max="5645" width="19.140625" style="3" customWidth="1"/>
    <col min="5646" max="5647" width="0" style="3" hidden="1" customWidth="1"/>
    <col min="5648" max="5648" width="20.85546875" style="3" customWidth="1"/>
    <col min="5649" max="5650" width="0" style="3" hidden="1" customWidth="1"/>
    <col min="5651" max="5651" width="23" style="3" customWidth="1"/>
    <col min="5652" max="5657" width="0" style="3" hidden="1" customWidth="1"/>
    <col min="5658" max="5658" width="18.85546875" style="3" customWidth="1"/>
    <col min="5659" max="5659" width="0" style="3" hidden="1" customWidth="1"/>
    <col min="5660" max="5660" width="14.140625" style="3" customWidth="1"/>
    <col min="5661" max="5662" width="0" style="3" hidden="1" customWidth="1"/>
    <col min="5663" max="5663" width="17.28515625" style="3" customWidth="1"/>
    <col min="5664" max="5665" width="0" style="3" hidden="1" customWidth="1"/>
    <col min="5666" max="5666" width="18.140625" style="3" customWidth="1"/>
    <col min="5667" max="5668" width="0" style="3" hidden="1" customWidth="1"/>
    <col min="5669" max="5669" width="17" style="3" customWidth="1"/>
    <col min="5670" max="5671" width="0" style="3" hidden="1" customWidth="1"/>
    <col min="5672" max="5672" width="15.5703125" style="3" customWidth="1"/>
    <col min="5673" max="5674" width="0" style="3" hidden="1" customWidth="1"/>
    <col min="5675" max="5675" width="16.28515625" style="3" customWidth="1"/>
    <col min="5676" max="5676" width="0" style="3" hidden="1" customWidth="1"/>
    <col min="5677" max="5677" width="14.42578125" style="3" customWidth="1"/>
    <col min="5678" max="5679" width="0" style="3" hidden="1" customWidth="1"/>
    <col min="5680" max="5680" width="14.28515625" style="3" customWidth="1"/>
    <col min="5681" max="5888" width="9.140625" style="3"/>
    <col min="5889" max="5889" width="4" style="3" bestFit="1" customWidth="1"/>
    <col min="5890" max="5890" width="21.140625" style="3" customWidth="1"/>
    <col min="5891" max="5892" width="6.28515625" style="3" customWidth="1"/>
    <col min="5893" max="5894" width="0" style="3" hidden="1" customWidth="1"/>
    <col min="5895" max="5895" width="20.42578125" style="3" customWidth="1"/>
    <col min="5896" max="5897" width="0" style="3" hidden="1" customWidth="1"/>
    <col min="5898" max="5898" width="16.140625" style="3" customWidth="1"/>
    <col min="5899" max="5900" width="0" style="3" hidden="1" customWidth="1"/>
    <col min="5901" max="5901" width="19.140625" style="3" customWidth="1"/>
    <col min="5902" max="5903" width="0" style="3" hidden="1" customWidth="1"/>
    <col min="5904" max="5904" width="20.85546875" style="3" customWidth="1"/>
    <col min="5905" max="5906" width="0" style="3" hidden="1" customWidth="1"/>
    <col min="5907" max="5907" width="23" style="3" customWidth="1"/>
    <col min="5908" max="5913" width="0" style="3" hidden="1" customWidth="1"/>
    <col min="5914" max="5914" width="18.85546875" style="3" customWidth="1"/>
    <col min="5915" max="5915" width="0" style="3" hidden="1" customWidth="1"/>
    <col min="5916" max="5916" width="14.140625" style="3" customWidth="1"/>
    <col min="5917" max="5918" width="0" style="3" hidden="1" customWidth="1"/>
    <col min="5919" max="5919" width="17.28515625" style="3" customWidth="1"/>
    <col min="5920" max="5921" width="0" style="3" hidden="1" customWidth="1"/>
    <col min="5922" max="5922" width="18.140625" style="3" customWidth="1"/>
    <col min="5923" max="5924" width="0" style="3" hidden="1" customWidth="1"/>
    <col min="5925" max="5925" width="17" style="3" customWidth="1"/>
    <col min="5926" max="5927" width="0" style="3" hidden="1" customWidth="1"/>
    <col min="5928" max="5928" width="15.5703125" style="3" customWidth="1"/>
    <col min="5929" max="5930" width="0" style="3" hidden="1" customWidth="1"/>
    <col min="5931" max="5931" width="16.28515625" style="3" customWidth="1"/>
    <col min="5932" max="5932" width="0" style="3" hidden="1" customWidth="1"/>
    <col min="5933" max="5933" width="14.42578125" style="3" customWidth="1"/>
    <col min="5934" max="5935" width="0" style="3" hidden="1" customWidth="1"/>
    <col min="5936" max="5936" width="14.28515625" style="3" customWidth="1"/>
    <col min="5937" max="6144" width="9.140625" style="3"/>
    <col min="6145" max="6145" width="4" style="3" bestFit="1" customWidth="1"/>
    <col min="6146" max="6146" width="21.140625" style="3" customWidth="1"/>
    <col min="6147" max="6148" width="6.28515625" style="3" customWidth="1"/>
    <col min="6149" max="6150" width="0" style="3" hidden="1" customWidth="1"/>
    <col min="6151" max="6151" width="20.42578125" style="3" customWidth="1"/>
    <col min="6152" max="6153" width="0" style="3" hidden="1" customWidth="1"/>
    <col min="6154" max="6154" width="16.140625" style="3" customWidth="1"/>
    <col min="6155" max="6156" width="0" style="3" hidden="1" customWidth="1"/>
    <col min="6157" max="6157" width="19.140625" style="3" customWidth="1"/>
    <col min="6158" max="6159" width="0" style="3" hidden="1" customWidth="1"/>
    <col min="6160" max="6160" width="20.85546875" style="3" customWidth="1"/>
    <col min="6161" max="6162" width="0" style="3" hidden="1" customWidth="1"/>
    <col min="6163" max="6163" width="23" style="3" customWidth="1"/>
    <col min="6164" max="6169" width="0" style="3" hidden="1" customWidth="1"/>
    <col min="6170" max="6170" width="18.85546875" style="3" customWidth="1"/>
    <col min="6171" max="6171" width="0" style="3" hidden="1" customWidth="1"/>
    <col min="6172" max="6172" width="14.140625" style="3" customWidth="1"/>
    <col min="6173" max="6174" width="0" style="3" hidden="1" customWidth="1"/>
    <col min="6175" max="6175" width="17.28515625" style="3" customWidth="1"/>
    <col min="6176" max="6177" width="0" style="3" hidden="1" customWidth="1"/>
    <col min="6178" max="6178" width="18.140625" style="3" customWidth="1"/>
    <col min="6179" max="6180" width="0" style="3" hidden="1" customWidth="1"/>
    <col min="6181" max="6181" width="17" style="3" customWidth="1"/>
    <col min="6182" max="6183" width="0" style="3" hidden="1" customWidth="1"/>
    <col min="6184" max="6184" width="15.5703125" style="3" customWidth="1"/>
    <col min="6185" max="6186" width="0" style="3" hidden="1" customWidth="1"/>
    <col min="6187" max="6187" width="16.28515625" style="3" customWidth="1"/>
    <col min="6188" max="6188" width="0" style="3" hidden="1" customWidth="1"/>
    <col min="6189" max="6189" width="14.42578125" style="3" customWidth="1"/>
    <col min="6190" max="6191" width="0" style="3" hidden="1" customWidth="1"/>
    <col min="6192" max="6192" width="14.28515625" style="3" customWidth="1"/>
    <col min="6193" max="6400" width="9.140625" style="3"/>
    <col min="6401" max="6401" width="4" style="3" bestFit="1" customWidth="1"/>
    <col min="6402" max="6402" width="21.140625" style="3" customWidth="1"/>
    <col min="6403" max="6404" width="6.28515625" style="3" customWidth="1"/>
    <col min="6405" max="6406" width="0" style="3" hidden="1" customWidth="1"/>
    <col min="6407" max="6407" width="20.42578125" style="3" customWidth="1"/>
    <col min="6408" max="6409" width="0" style="3" hidden="1" customWidth="1"/>
    <col min="6410" max="6410" width="16.140625" style="3" customWidth="1"/>
    <col min="6411" max="6412" width="0" style="3" hidden="1" customWidth="1"/>
    <col min="6413" max="6413" width="19.140625" style="3" customWidth="1"/>
    <col min="6414" max="6415" width="0" style="3" hidden="1" customWidth="1"/>
    <col min="6416" max="6416" width="20.85546875" style="3" customWidth="1"/>
    <col min="6417" max="6418" width="0" style="3" hidden="1" customWidth="1"/>
    <col min="6419" max="6419" width="23" style="3" customWidth="1"/>
    <col min="6420" max="6425" width="0" style="3" hidden="1" customWidth="1"/>
    <col min="6426" max="6426" width="18.85546875" style="3" customWidth="1"/>
    <col min="6427" max="6427" width="0" style="3" hidden="1" customWidth="1"/>
    <col min="6428" max="6428" width="14.140625" style="3" customWidth="1"/>
    <col min="6429" max="6430" width="0" style="3" hidden="1" customWidth="1"/>
    <col min="6431" max="6431" width="17.28515625" style="3" customWidth="1"/>
    <col min="6432" max="6433" width="0" style="3" hidden="1" customWidth="1"/>
    <col min="6434" max="6434" width="18.140625" style="3" customWidth="1"/>
    <col min="6435" max="6436" width="0" style="3" hidden="1" customWidth="1"/>
    <col min="6437" max="6437" width="17" style="3" customWidth="1"/>
    <col min="6438" max="6439" width="0" style="3" hidden="1" customWidth="1"/>
    <col min="6440" max="6440" width="15.5703125" style="3" customWidth="1"/>
    <col min="6441" max="6442" width="0" style="3" hidden="1" customWidth="1"/>
    <col min="6443" max="6443" width="16.28515625" style="3" customWidth="1"/>
    <col min="6444" max="6444" width="0" style="3" hidden="1" customWidth="1"/>
    <col min="6445" max="6445" width="14.42578125" style="3" customWidth="1"/>
    <col min="6446" max="6447" width="0" style="3" hidden="1" customWidth="1"/>
    <col min="6448" max="6448" width="14.28515625" style="3" customWidth="1"/>
    <col min="6449" max="6656" width="9.140625" style="3"/>
    <col min="6657" max="6657" width="4" style="3" bestFit="1" customWidth="1"/>
    <col min="6658" max="6658" width="21.140625" style="3" customWidth="1"/>
    <col min="6659" max="6660" width="6.28515625" style="3" customWidth="1"/>
    <col min="6661" max="6662" width="0" style="3" hidden="1" customWidth="1"/>
    <col min="6663" max="6663" width="20.42578125" style="3" customWidth="1"/>
    <col min="6664" max="6665" width="0" style="3" hidden="1" customWidth="1"/>
    <col min="6666" max="6666" width="16.140625" style="3" customWidth="1"/>
    <col min="6667" max="6668" width="0" style="3" hidden="1" customWidth="1"/>
    <col min="6669" max="6669" width="19.140625" style="3" customWidth="1"/>
    <col min="6670" max="6671" width="0" style="3" hidden="1" customWidth="1"/>
    <col min="6672" max="6672" width="20.85546875" style="3" customWidth="1"/>
    <col min="6673" max="6674" width="0" style="3" hidden="1" customWidth="1"/>
    <col min="6675" max="6675" width="23" style="3" customWidth="1"/>
    <col min="6676" max="6681" width="0" style="3" hidden="1" customWidth="1"/>
    <col min="6682" max="6682" width="18.85546875" style="3" customWidth="1"/>
    <col min="6683" max="6683" width="0" style="3" hidden="1" customWidth="1"/>
    <col min="6684" max="6684" width="14.140625" style="3" customWidth="1"/>
    <col min="6685" max="6686" width="0" style="3" hidden="1" customWidth="1"/>
    <col min="6687" max="6687" width="17.28515625" style="3" customWidth="1"/>
    <col min="6688" max="6689" width="0" style="3" hidden="1" customWidth="1"/>
    <col min="6690" max="6690" width="18.140625" style="3" customWidth="1"/>
    <col min="6691" max="6692" width="0" style="3" hidden="1" customWidth="1"/>
    <col min="6693" max="6693" width="17" style="3" customWidth="1"/>
    <col min="6694" max="6695" width="0" style="3" hidden="1" customWidth="1"/>
    <col min="6696" max="6696" width="15.5703125" style="3" customWidth="1"/>
    <col min="6697" max="6698" width="0" style="3" hidden="1" customWidth="1"/>
    <col min="6699" max="6699" width="16.28515625" style="3" customWidth="1"/>
    <col min="6700" max="6700" width="0" style="3" hidden="1" customWidth="1"/>
    <col min="6701" max="6701" width="14.42578125" style="3" customWidth="1"/>
    <col min="6702" max="6703" width="0" style="3" hidden="1" customWidth="1"/>
    <col min="6704" max="6704" width="14.28515625" style="3" customWidth="1"/>
    <col min="6705" max="6912" width="9.140625" style="3"/>
    <col min="6913" max="6913" width="4" style="3" bestFit="1" customWidth="1"/>
    <col min="6914" max="6914" width="21.140625" style="3" customWidth="1"/>
    <col min="6915" max="6916" width="6.28515625" style="3" customWidth="1"/>
    <col min="6917" max="6918" width="0" style="3" hidden="1" customWidth="1"/>
    <col min="6919" max="6919" width="20.42578125" style="3" customWidth="1"/>
    <col min="6920" max="6921" width="0" style="3" hidden="1" customWidth="1"/>
    <col min="6922" max="6922" width="16.140625" style="3" customWidth="1"/>
    <col min="6923" max="6924" width="0" style="3" hidden="1" customWidth="1"/>
    <col min="6925" max="6925" width="19.140625" style="3" customWidth="1"/>
    <col min="6926" max="6927" width="0" style="3" hidden="1" customWidth="1"/>
    <col min="6928" max="6928" width="20.85546875" style="3" customWidth="1"/>
    <col min="6929" max="6930" width="0" style="3" hidden="1" customWidth="1"/>
    <col min="6931" max="6931" width="23" style="3" customWidth="1"/>
    <col min="6932" max="6937" width="0" style="3" hidden="1" customWidth="1"/>
    <col min="6938" max="6938" width="18.85546875" style="3" customWidth="1"/>
    <col min="6939" max="6939" width="0" style="3" hidden="1" customWidth="1"/>
    <col min="6940" max="6940" width="14.140625" style="3" customWidth="1"/>
    <col min="6941" max="6942" width="0" style="3" hidden="1" customWidth="1"/>
    <col min="6943" max="6943" width="17.28515625" style="3" customWidth="1"/>
    <col min="6944" max="6945" width="0" style="3" hidden="1" customWidth="1"/>
    <col min="6946" max="6946" width="18.140625" style="3" customWidth="1"/>
    <col min="6947" max="6948" width="0" style="3" hidden="1" customWidth="1"/>
    <col min="6949" max="6949" width="17" style="3" customWidth="1"/>
    <col min="6950" max="6951" width="0" style="3" hidden="1" customWidth="1"/>
    <col min="6952" max="6952" width="15.5703125" style="3" customWidth="1"/>
    <col min="6953" max="6954" width="0" style="3" hidden="1" customWidth="1"/>
    <col min="6955" max="6955" width="16.28515625" style="3" customWidth="1"/>
    <col min="6956" max="6956" width="0" style="3" hidden="1" customWidth="1"/>
    <col min="6957" max="6957" width="14.42578125" style="3" customWidth="1"/>
    <col min="6958" max="6959" width="0" style="3" hidden="1" customWidth="1"/>
    <col min="6960" max="6960" width="14.28515625" style="3" customWidth="1"/>
    <col min="6961" max="7168" width="9.140625" style="3"/>
    <col min="7169" max="7169" width="4" style="3" bestFit="1" customWidth="1"/>
    <col min="7170" max="7170" width="21.140625" style="3" customWidth="1"/>
    <col min="7171" max="7172" width="6.28515625" style="3" customWidth="1"/>
    <col min="7173" max="7174" width="0" style="3" hidden="1" customWidth="1"/>
    <col min="7175" max="7175" width="20.42578125" style="3" customWidth="1"/>
    <col min="7176" max="7177" width="0" style="3" hidden="1" customWidth="1"/>
    <col min="7178" max="7178" width="16.140625" style="3" customWidth="1"/>
    <col min="7179" max="7180" width="0" style="3" hidden="1" customWidth="1"/>
    <col min="7181" max="7181" width="19.140625" style="3" customWidth="1"/>
    <col min="7182" max="7183" width="0" style="3" hidden="1" customWidth="1"/>
    <col min="7184" max="7184" width="20.85546875" style="3" customWidth="1"/>
    <col min="7185" max="7186" width="0" style="3" hidden="1" customWidth="1"/>
    <col min="7187" max="7187" width="23" style="3" customWidth="1"/>
    <col min="7188" max="7193" width="0" style="3" hidden="1" customWidth="1"/>
    <col min="7194" max="7194" width="18.85546875" style="3" customWidth="1"/>
    <col min="7195" max="7195" width="0" style="3" hidden="1" customWidth="1"/>
    <col min="7196" max="7196" width="14.140625" style="3" customWidth="1"/>
    <col min="7197" max="7198" width="0" style="3" hidden="1" customWidth="1"/>
    <col min="7199" max="7199" width="17.28515625" style="3" customWidth="1"/>
    <col min="7200" max="7201" width="0" style="3" hidden="1" customWidth="1"/>
    <col min="7202" max="7202" width="18.140625" style="3" customWidth="1"/>
    <col min="7203" max="7204" width="0" style="3" hidden="1" customWidth="1"/>
    <col min="7205" max="7205" width="17" style="3" customWidth="1"/>
    <col min="7206" max="7207" width="0" style="3" hidden="1" customWidth="1"/>
    <col min="7208" max="7208" width="15.5703125" style="3" customWidth="1"/>
    <col min="7209" max="7210" width="0" style="3" hidden="1" customWidth="1"/>
    <col min="7211" max="7211" width="16.28515625" style="3" customWidth="1"/>
    <col min="7212" max="7212" width="0" style="3" hidden="1" customWidth="1"/>
    <col min="7213" max="7213" width="14.42578125" style="3" customWidth="1"/>
    <col min="7214" max="7215" width="0" style="3" hidden="1" customWidth="1"/>
    <col min="7216" max="7216" width="14.28515625" style="3" customWidth="1"/>
    <col min="7217" max="7424" width="9.140625" style="3"/>
    <col min="7425" max="7425" width="4" style="3" bestFit="1" customWidth="1"/>
    <col min="7426" max="7426" width="21.140625" style="3" customWidth="1"/>
    <col min="7427" max="7428" width="6.28515625" style="3" customWidth="1"/>
    <col min="7429" max="7430" width="0" style="3" hidden="1" customWidth="1"/>
    <col min="7431" max="7431" width="20.42578125" style="3" customWidth="1"/>
    <col min="7432" max="7433" width="0" style="3" hidden="1" customWidth="1"/>
    <col min="7434" max="7434" width="16.140625" style="3" customWidth="1"/>
    <col min="7435" max="7436" width="0" style="3" hidden="1" customWidth="1"/>
    <col min="7437" max="7437" width="19.140625" style="3" customWidth="1"/>
    <col min="7438" max="7439" width="0" style="3" hidden="1" customWidth="1"/>
    <col min="7440" max="7440" width="20.85546875" style="3" customWidth="1"/>
    <col min="7441" max="7442" width="0" style="3" hidden="1" customWidth="1"/>
    <col min="7443" max="7443" width="23" style="3" customWidth="1"/>
    <col min="7444" max="7449" width="0" style="3" hidden="1" customWidth="1"/>
    <col min="7450" max="7450" width="18.85546875" style="3" customWidth="1"/>
    <col min="7451" max="7451" width="0" style="3" hidden="1" customWidth="1"/>
    <col min="7452" max="7452" width="14.140625" style="3" customWidth="1"/>
    <col min="7453" max="7454" width="0" style="3" hidden="1" customWidth="1"/>
    <col min="7455" max="7455" width="17.28515625" style="3" customWidth="1"/>
    <col min="7456" max="7457" width="0" style="3" hidden="1" customWidth="1"/>
    <col min="7458" max="7458" width="18.140625" style="3" customWidth="1"/>
    <col min="7459" max="7460" width="0" style="3" hidden="1" customWidth="1"/>
    <col min="7461" max="7461" width="17" style="3" customWidth="1"/>
    <col min="7462" max="7463" width="0" style="3" hidden="1" customWidth="1"/>
    <col min="7464" max="7464" width="15.5703125" style="3" customWidth="1"/>
    <col min="7465" max="7466" width="0" style="3" hidden="1" customWidth="1"/>
    <col min="7467" max="7467" width="16.28515625" style="3" customWidth="1"/>
    <col min="7468" max="7468" width="0" style="3" hidden="1" customWidth="1"/>
    <col min="7469" max="7469" width="14.42578125" style="3" customWidth="1"/>
    <col min="7470" max="7471" width="0" style="3" hidden="1" customWidth="1"/>
    <col min="7472" max="7472" width="14.28515625" style="3" customWidth="1"/>
    <col min="7473" max="7680" width="9.140625" style="3"/>
    <col min="7681" max="7681" width="4" style="3" bestFit="1" customWidth="1"/>
    <col min="7682" max="7682" width="21.140625" style="3" customWidth="1"/>
    <col min="7683" max="7684" width="6.28515625" style="3" customWidth="1"/>
    <col min="7685" max="7686" width="0" style="3" hidden="1" customWidth="1"/>
    <col min="7687" max="7687" width="20.42578125" style="3" customWidth="1"/>
    <col min="7688" max="7689" width="0" style="3" hidden="1" customWidth="1"/>
    <col min="7690" max="7690" width="16.140625" style="3" customWidth="1"/>
    <col min="7691" max="7692" width="0" style="3" hidden="1" customWidth="1"/>
    <col min="7693" max="7693" width="19.140625" style="3" customWidth="1"/>
    <col min="7694" max="7695" width="0" style="3" hidden="1" customWidth="1"/>
    <col min="7696" max="7696" width="20.85546875" style="3" customWidth="1"/>
    <col min="7697" max="7698" width="0" style="3" hidden="1" customWidth="1"/>
    <col min="7699" max="7699" width="23" style="3" customWidth="1"/>
    <col min="7700" max="7705" width="0" style="3" hidden="1" customWidth="1"/>
    <col min="7706" max="7706" width="18.85546875" style="3" customWidth="1"/>
    <col min="7707" max="7707" width="0" style="3" hidden="1" customWidth="1"/>
    <col min="7708" max="7708" width="14.140625" style="3" customWidth="1"/>
    <col min="7709" max="7710" width="0" style="3" hidden="1" customWidth="1"/>
    <col min="7711" max="7711" width="17.28515625" style="3" customWidth="1"/>
    <col min="7712" max="7713" width="0" style="3" hidden="1" customWidth="1"/>
    <col min="7714" max="7714" width="18.140625" style="3" customWidth="1"/>
    <col min="7715" max="7716" width="0" style="3" hidden="1" customWidth="1"/>
    <col min="7717" max="7717" width="17" style="3" customWidth="1"/>
    <col min="7718" max="7719" width="0" style="3" hidden="1" customWidth="1"/>
    <col min="7720" max="7720" width="15.5703125" style="3" customWidth="1"/>
    <col min="7721" max="7722" width="0" style="3" hidden="1" customWidth="1"/>
    <col min="7723" max="7723" width="16.28515625" style="3" customWidth="1"/>
    <col min="7724" max="7724" width="0" style="3" hidden="1" customWidth="1"/>
    <col min="7725" max="7725" width="14.42578125" style="3" customWidth="1"/>
    <col min="7726" max="7727" width="0" style="3" hidden="1" customWidth="1"/>
    <col min="7728" max="7728" width="14.28515625" style="3" customWidth="1"/>
    <col min="7729" max="7936" width="9.140625" style="3"/>
    <col min="7937" max="7937" width="4" style="3" bestFit="1" customWidth="1"/>
    <col min="7938" max="7938" width="21.140625" style="3" customWidth="1"/>
    <col min="7939" max="7940" width="6.28515625" style="3" customWidth="1"/>
    <col min="7941" max="7942" width="0" style="3" hidden="1" customWidth="1"/>
    <col min="7943" max="7943" width="20.42578125" style="3" customWidth="1"/>
    <col min="7944" max="7945" width="0" style="3" hidden="1" customWidth="1"/>
    <col min="7946" max="7946" width="16.140625" style="3" customWidth="1"/>
    <col min="7947" max="7948" width="0" style="3" hidden="1" customWidth="1"/>
    <col min="7949" max="7949" width="19.140625" style="3" customWidth="1"/>
    <col min="7950" max="7951" width="0" style="3" hidden="1" customWidth="1"/>
    <col min="7952" max="7952" width="20.85546875" style="3" customWidth="1"/>
    <col min="7953" max="7954" width="0" style="3" hidden="1" customWidth="1"/>
    <col min="7955" max="7955" width="23" style="3" customWidth="1"/>
    <col min="7956" max="7961" width="0" style="3" hidden="1" customWidth="1"/>
    <col min="7962" max="7962" width="18.85546875" style="3" customWidth="1"/>
    <col min="7963" max="7963" width="0" style="3" hidden="1" customWidth="1"/>
    <col min="7964" max="7964" width="14.140625" style="3" customWidth="1"/>
    <col min="7965" max="7966" width="0" style="3" hidden="1" customWidth="1"/>
    <col min="7967" max="7967" width="17.28515625" style="3" customWidth="1"/>
    <col min="7968" max="7969" width="0" style="3" hidden="1" customWidth="1"/>
    <col min="7970" max="7970" width="18.140625" style="3" customWidth="1"/>
    <col min="7971" max="7972" width="0" style="3" hidden="1" customWidth="1"/>
    <col min="7973" max="7973" width="17" style="3" customWidth="1"/>
    <col min="7974" max="7975" width="0" style="3" hidden="1" customWidth="1"/>
    <col min="7976" max="7976" width="15.5703125" style="3" customWidth="1"/>
    <col min="7977" max="7978" width="0" style="3" hidden="1" customWidth="1"/>
    <col min="7979" max="7979" width="16.28515625" style="3" customWidth="1"/>
    <col min="7980" max="7980" width="0" style="3" hidden="1" customWidth="1"/>
    <col min="7981" max="7981" width="14.42578125" style="3" customWidth="1"/>
    <col min="7982" max="7983" width="0" style="3" hidden="1" customWidth="1"/>
    <col min="7984" max="7984" width="14.28515625" style="3" customWidth="1"/>
    <col min="7985" max="8192" width="9.140625" style="3"/>
    <col min="8193" max="8193" width="4" style="3" bestFit="1" customWidth="1"/>
    <col min="8194" max="8194" width="21.140625" style="3" customWidth="1"/>
    <col min="8195" max="8196" width="6.28515625" style="3" customWidth="1"/>
    <col min="8197" max="8198" width="0" style="3" hidden="1" customWidth="1"/>
    <col min="8199" max="8199" width="20.42578125" style="3" customWidth="1"/>
    <col min="8200" max="8201" width="0" style="3" hidden="1" customWidth="1"/>
    <col min="8202" max="8202" width="16.140625" style="3" customWidth="1"/>
    <col min="8203" max="8204" width="0" style="3" hidden="1" customWidth="1"/>
    <col min="8205" max="8205" width="19.140625" style="3" customWidth="1"/>
    <col min="8206" max="8207" width="0" style="3" hidden="1" customWidth="1"/>
    <col min="8208" max="8208" width="20.85546875" style="3" customWidth="1"/>
    <col min="8209" max="8210" width="0" style="3" hidden="1" customWidth="1"/>
    <col min="8211" max="8211" width="23" style="3" customWidth="1"/>
    <col min="8212" max="8217" width="0" style="3" hidden="1" customWidth="1"/>
    <col min="8218" max="8218" width="18.85546875" style="3" customWidth="1"/>
    <col min="8219" max="8219" width="0" style="3" hidden="1" customWidth="1"/>
    <col min="8220" max="8220" width="14.140625" style="3" customWidth="1"/>
    <col min="8221" max="8222" width="0" style="3" hidden="1" customWidth="1"/>
    <col min="8223" max="8223" width="17.28515625" style="3" customWidth="1"/>
    <col min="8224" max="8225" width="0" style="3" hidden="1" customWidth="1"/>
    <col min="8226" max="8226" width="18.140625" style="3" customWidth="1"/>
    <col min="8227" max="8228" width="0" style="3" hidden="1" customWidth="1"/>
    <col min="8229" max="8229" width="17" style="3" customWidth="1"/>
    <col min="8230" max="8231" width="0" style="3" hidden="1" customWidth="1"/>
    <col min="8232" max="8232" width="15.5703125" style="3" customWidth="1"/>
    <col min="8233" max="8234" width="0" style="3" hidden="1" customWidth="1"/>
    <col min="8235" max="8235" width="16.28515625" style="3" customWidth="1"/>
    <col min="8236" max="8236" width="0" style="3" hidden="1" customWidth="1"/>
    <col min="8237" max="8237" width="14.42578125" style="3" customWidth="1"/>
    <col min="8238" max="8239" width="0" style="3" hidden="1" customWidth="1"/>
    <col min="8240" max="8240" width="14.28515625" style="3" customWidth="1"/>
    <col min="8241" max="8448" width="9.140625" style="3"/>
    <col min="8449" max="8449" width="4" style="3" bestFit="1" customWidth="1"/>
    <col min="8450" max="8450" width="21.140625" style="3" customWidth="1"/>
    <col min="8451" max="8452" width="6.28515625" style="3" customWidth="1"/>
    <col min="8453" max="8454" width="0" style="3" hidden="1" customWidth="1"/>
    <col min="8455" max="8455" width="20.42578125" style="3" customWidth="1"/>
    <col min="8456" max="8457" width="0" style="3" hidden="1" customWidth="1"/>
    <col min="8458" max="8458" width="16.140625" style="3" customWidth="1"/>
    <col min="8459" max="8460" width="0" style="3" hidden="1" customWidth="1"/>
    <col min="8461" max="8461" width="19.140625" style="3" customWidth="1"/>
    <col min="8462" max="8463" width="0" style="3" hidden="1" customWidth="1"/>
    <col min="8464" max="8464" width="20.85546875" style="3" customWidth="1"/>
    <col min="8465" max="8466" width="0" style="3" hidden="1" customWidth="1"/>
    <col min="8467" max="8467" width="23" style="3" customWidth="1"/>
    <col min="8468" max="8473" width="0" style="3" hidden="1" customWidth="1"/>
    <col min="8474" max="8474" width="18.85546875" style="3" customWidth="1"/>
    <col min="8475" max="8475" width="0" style="3" hidden="1" customWidth="1"/>
    <col min="8476" max="8476" width="14.140625" style="3" customWidth="1"/>
    <col min="8477" max="8478" width="0" style="3" hidden="1" customWidth="1"/>
    <col min="8479" max="8479" width="17.28515625" style="3" customWidth="1"/>
    <col min="8480" max="8481" width="0" style="3" hidden="1" customWidth="1"/>
    <col min="8482" max="8482" width="18.140625" style="3" customWidth="1"/>
    <col min="8483" max="8484" width="0" style="3" hidden="1" customWidth="1"/>
    <col min="8485" max="8485" width="17" style="3" customWidth="1"/>
    <col min="8486" max="8487" width="0" style="3" hidden="1" customWidth="1"/>
    <col min="8488" max="8488" width="15.5703125" style="3" customWidth="1"/>
    <col min="8489" max="8490" width="0" style="3" hidden="1" customWidth="1"/>
    <col min="8491" max="8491" width="16.28515625" style="3" customWidth="1"/>
    <col min="8492" max="8492" width="0" style="3" hidden="1" customWidth="1"/>
    <col min="8493" max="8493" width="14.42578125" style="3" customWidth="1"/>
    <col min="8494" max="8495" width="0" style="3" hidden="1" customWidth="1"/>
    <col min="8496" max="8496" width="14.28515625" style="3" customWidth="1"/>
    <col min="8497" max="8704" width="9.140625" style="3"/>
    <col min="8705" max="8705" width="4" style="3" bestFit="1" customWidth="1"/>
    <col min="8706" max="8706" width="21.140625" style="3" customWidth="1"/>
    <col min="8707" max="8708" width="6.28515625" style="3" customWidth="1"/>
    <col min="8709" max="8710" width="0" style="3" hidden="1" customWidth="1"/>
    <col min="8711" max="8711" width="20.42578125" style="3" customWidth="1"/>
    <col min="8712" max="8713" width="0" style="3" hidden="1" customWidth="1"/>
    <col min="8714" max="8714" width="16.140625" style="3" customWidth="1"/>
    <col min="8715" max="8716" width="0" style="3" hidden="1" customWidth="1"/>
    <col min="8717" max="8717" width="19.140625" style="3" customWidth="1"/>
    <col min="8718" max="8719" width="0" style="3" hidden="1" customWidth="1"/>
    <col min="8720" max="8720" width="20.85546875" style="3" customWidth="1"/>
    <col min="8721" max="8722" width="0" style="3" hidden="1" customWidth="1"/>
    <col min="8723" max="8723" width="23" style="3" customWidth="1"/>
    <col min="8724" max="8729" width="0" style="3" hidden="1" customWidth="1"/>
    <col min="8730" max="8730" width="18.85546875" style="3" customWidth="1"/>
    <col min="8731" max="8731" width="0" style="3" hidden="1" customWidth="1"/>
    <col min="8732" max="8732" width="14.140625" style="3" customWidth="1"/>
    <col min="8733" max="8734" width="0" style="3" hidden="1" customWidth="1"/>
    <col min="8735" max="8735" width="17.28515625" style="3" customWidth="1"/>
    <col min="8736" max="8737" width="0" style="3" hidden="1" customWidth="1"/>
    <col min="8738" max="8738" width="18.140625" style="3" customWidth="1"/>
    <col min="8739" max="8740" width="0" style="3" hidden="1" customWidth="1"/>
    <col min="8741" max="8741" width="17" style="3" customWidth="1"/>
    <col min="8742" max="8743" width="0" style="3" hidden="1" customWidth="1"/>
    <col min="8744" max="8744" width="15.5703125" style="3" customWidth="1"/>
    <col min="8745" max="8746" width="0" style="3" hidden="1" customWidth="1"/>
    <col min="8747" max="8747" width="16.28515625" style="3" customWidth="1"/>
    <col min="8748" max="8748" width="0" style="3" hidden="1" customWidth="1"/>
    <col min="8749" max="8749" width="14.42578125" style="3" customWidth="1"/>
    <col min="8750" max="8751" width="0" style="3" hidden="1" customWidth="1"/>
    <col min="8752" max="8752" width="14.28515625" style="3" customWidth="1"/>
    <col min="8753" max="8960" width="9.140625" style="3"/>
    <col min="8961" max="8961" width="4" style="3" bestFit="1" customWidth="1"/>
    <col min="8962" max="8962" width="21.140625" style="3" customWidth="1"/>
    <col min="8963" max="8964" width="6.28515625" style="3" customWidth="1"/>
    <col min="8965" max="8966" width="0" style="3" hidden="1" customWidth="1"/>
    <col min="8967" max="8967" width="20.42578125" style="3" customWidth="1"/>
    <col min="8968" max="8969" width="0" style="3" hidden="1" customWidth="1"/>
    <col min="8970" max="8970" width="16.140625" style="3" customWidth="1"/>
    <col min="8971" max="8972" width="0" style="3" hidden="1" customWidth="1"/>
    <col min="8973" max="8973" width="19.140625" style="3" customWidth="1"/>
    <col min="8974" max="8975" width="0" style="3" hidden="1" customWidth="1"/>
    <col min="8976" max="8976" width="20.85546875" style="3" customWidth="1"/>
    <col min="8977" max="8978" width="0" style="3" hidden="1" customWidth="1"/>
    <col min="8979" max="8979" width="23" style="3" customWidth="1"/>
    <col min="8980" max="8985" width="0" style="3" hidden="1" customWidth="1"/>
    <col min="8986" max="8986" width="18.85546875" style="3" customWidth="1"/>
    <col min="8987" max="8987" width="0" style="3" hidden="1" customWidth="1"/>
    <col min="8988" max="8988" width="14.140625" style="3" customWidth="1"/>
    <col min="8989" max="8990" width="0" style="3" hidden="1" customWidth="1"/>
    <col min="8991" max="8991" width="17.28515625" style="3" customWidth="1"/>
    <col min="8992" max="8993" width="0" style="3" hidden="1" customWidth="1"/>
    <col min="8994" max="8994" width="18.140625" style="3" customWidth="1"/>
    <col min="8995" max="8996" width="0" style="3" hidden="1" customWidth="1"/>
    <col min="8997" max="8997" width="17" style="3" customWidth="1"/>
    <col min="8998" max="8999" width="0" style="3" hidden="1" customWidth="1"/>
    <col min="9000" max="9000" width="15.5703125" style="3" customWidth="1"/>
    <col min="9001" max="9002" width="0" style="3" hidden="1" customWidth="1"/>
    <col min="9003" max="9003" width="16.28515625" style="3" customWidth="1"/>
    <col min="9004" max="9004" width="0" style="3" hidden="1" customWidth="1"/>
    <col min="9005" max="9005" width="14.42578125" style="3" customWidth="1"/>
    <col min="9006" max="9007" width="0" style="3" hidden="1" customWidth="1"/>
    <col min="9008" max="9008" width="14.28515625" style="3" customWidth="1"/>
    <col min="9009" max="9216" width="9.140625" style="3"/>
    <col min="9217" max="9217" width="4" style="3" bestFit="1" customWidth="1"/>
    <col min="9218" max="9218" width="21.140625" style="3" customWidth="1"/>
    <col min="9219" max="9220" width="6.28515625" style="3" customWidth="1"/>
    <col min="9221" max="9222" width="0" style="3" hidden="1" customWidth="1"/>
    <col min="9223" max="9223" width="20.42578125" style="3" customWidth="1"/>
    <col min="9224" max="9225" width="0" style="3" hidden="1" customWidth="1"/>
    <col min="9226" max="9226" width="16.140625" style="3" customWidth="1"/>
    <col min="9227" max="9228" width="0" style="3" hidden="1" customWidth="1"/>
    <col min="9229" max="9229" width="19.140625" style="3" customWidth="1"/>
    <col min="9230" max="9231" width="0" style="3" hidden="1" customWidth="1"/>
    <col min="9232" max="9232" width="20.85546875" style="3" customWidth="1"/>
    <col min="9233" max="9234" width="0" style="3" hidden="1" customWidth="1"/>
    <col min="9235" max="9235" width="23" style="3" customWidth="1"/>
    <col min="9236" max="9241" width="0" style="3" hidden="1" customWidth="1"/>
    <col min="9242" max="9242" width="18.85546875" style="3" customWidth="1"/>
    <col min="9243" max="9243" width="0" style="3" hidden="1" customWidth="1"/>
    <col min="9244" max="9244" width="14.140625" style="3" customWidth="1"/>
    <col min="9245" max="9246" width="0" style="3" hidden="1" customWidth="1"/>
    <col min="9247" max="9247" width="17.28515625" style="3" customWidth="1"/>
    <col min="9248" max="9249" width="0" style="3" hidden="1" customWidth="1"/>
    <col min="9250" max="9250" width="18.140625" style="3" customWidth="1"/>
    <col min="9251" max="9252" width="0" style="3" hidden="1" customWidth="1"/>
    <col min="9253" max="9253" width="17" style="3" customWidth="1"/>
    <col min="9254" max="9255" width="0" style="3" hidden="1" customWidth="1"/>
    <col min="9256" max="9256" width="15.5703125" style="3" customWidth="1"/>
    <col min="9257" max="9258" width="0" style="3" hidden="1" customWidth="1"/>
    <col min="9259" max="9259" width="16.28515625" style="3" customWidth="1"/>
    <col min="9260" max="9260" width="0" style="3" hidden="1" customWidth="1"/>
    <col min="9261" max="9261" width="14.42578125" style="3" customWidth="1"/>
    <col min="9262" max="9263" width="0" style="3" hidden="1" customWidth="1"/>
    <col min="9264" max="9264" width="14.28515625" style="3" customWidth="1"/>
    <col min="9265" max="9472" width="9.140625" style="3"/>
    <col min="9473" max="9473" width="4" style="3" bestFit="1" customWidth="1"/>
    <col min="9474" max="9474" width="21.140625" style="3" customWidth="1"/>
    <col min="9475" max="9476" width="6.28515625" style="3" customWidth="1"/>
    <col min="9477" max="9478" width="0" style="3" hidden="1" customWidth="1"/>
    <col min="9479" max="9479" width="20.42578125" style="3" customWidth="1"/>
    <col min="9480" max="9481" width="0" style="3" hidden="1" customWidth="1"/>
    <col min="9482" max="9482" width="16.140625" style="3" customWidth="1"/>
    <col min="9483" max="9484" width="0" style="3" hidden="1" customWidth="1"/>
    <col min="9485" max="9485" width="19.140625" style="3" customWidth="1"/>
    <col min="9486" max="9487" width="0" style="3" hidden="1" customWidth="1"/>
    <col min="9488" max="9488" width="20.85546875" style="3" customWidth="1"/>
    <col min="9489" max="9490" width="0" style="3" hidden="1" customWidth="1"/>
    <col min="9491" max="9491" width="23" style="3" customWidth="1"/>
    <col min="9492" max="9497" width="0" style="3" hidden="1" customWidth="1"/>
    <col min="9498" max="9498" width="18.85546875" style="3" customWidth="1"/>
    <col min="9499" max="9499" width="0" style="3" hidden="1" customWidth="1"/>
    <col min="9500" max="9500" width="14.140625" style="3" customWidth="1"/>
    <col min="9501" max="9502" width="0" style="3" hidden="1" customWidth="1"/>
    <col min="9503" max="9503" width="17.28515625" style="3" customWidth="1"/>
    <col min="9504" max="9505" width="0" style="3" hidden="1" customWidth="1"/>
    <col min="9506" max="9506" width="18.140625" style="3" customWidth="1"/>
    <col min="9507" max="9508" width="0" style="3" hidden="1" customWidth="1"/>
    <col min="9509" max="9509" width="17" style="3" customWidth="1"/>
    <col min="9510" max="9511" width="0" style="3" hidden="1" customWidth="1"/>
    <col min="9512" max="9512" width="15.5703125" style="3" customWidth="1"/>
    <col min="9513" max="9514" width="0" style="3" hidden="1" customWidth="1"/>
    <col min="9515" max="9515" width="16.28515625" style="3" customWidth="1"/>
    <col min="9516" max="9516" width="0" style="3" hidden="1" customWidth="1"/>
    <col min="9517" max="9517" width="14.42578125" style="3" customWidth="1"/>
    <col min="9518" max="9519" width="0" style="3" hidden="1" customWidth="1"/>
    <col min="9520" max="9520" width="14.28515625" style="3" customWidth="1"/>
    <col min="9521" max="9728" width="9.140625" style="3"/>
    <col min="9729" max="9729" width="4" style="3" bestFit="1" customWidth="1"/>
    <col min="9730" max="9730" width="21.140625" style="3" customWidth="1"/>
    <col min="9731" max="9732" width="6.28515625" style="3" customWidth="1"/>
    <col min="9733" max="9734" width="0" style="3" hidden="1" customWidth="1"/>
    <col min="9735" max="9735" width="20.42578125" style="3" customWidth="1"/>
    <col min="9736" max="9737" width="0" style="3" hidden="1" customWidth="1"/>
    <col min="9738" max="9738" width="16.140625" style="3" customWidth="1"/>
    <col min="9739" max="9740" width="0" style="3" hidden="1" customWidth="1"/>
    <col min="9741" max="9741" width="19.140625" style="3" customWidth="1"/>
    <col min="9742" max="9743" width="0" style="3" hidden="1" customWidth="1"/>
    <col min="9744" max="9744" width="20.85546875" style="3" customWidth="1"/>
    <col min="9745" max="9746" width="0" style="3" hidden="1" customWidth="1"/>
    <col min="9747" max="9747" width="23" style="3" customWidth="1"/>
    <col min="9748" max="9753" width="0" style="3" hidden="1" customWidth="1"/>
    <col min="9754" max="9754" width="18.85546875" style="3" customWidth="1"/>
    <col min="9755" max="9755" width="0" style="3" hidden="1" customWidth="1"/>
    <col min="9756" max="9756" width="14.140625" style="3" customWidth="1"/>
    <col min="9757" max="9758" width="0" style="3" hidden="1" customWidth="1"/>
    <col min="9759" max="9759" width="17.28515625" style="3" customWidth="1"/>
    <col min="9760" max="9761" width="0" style="3" hidden="1" customWidth="1"/>
    <col min="9762" max="9762" width="18.140625" style="3" customWidth="1"/>
    <col min="9763" max="9764" width="0" style="3" hidden="1" customWidth="1"/>
    <col min="9765" max="9765" width="17" style="3" customWidth="1"/>
    <col min="9766" max="9767" width="0" style="3" hidden="1" customWidth="1"/>
    <col min="9768" max="9768" width="15.5703125" style="3" customWidth="1"/>
    <col min="9769" max="9770" width="0" style="3" hidden="1" customWidth="1"/>
    <col min="9771" max="9771" width="16.28515625" style="3" customWidth="1"/>
    <col min="9772" max="9772" width="0" style="3" hidden="1" customWidth="1"/>
    <col min="9773" max="9773" width="14.42578125" style="3" customWidth="1"/>
    <col min="9774" max="9775" width="0" style="3" hidden="1" customWidth="1"/>
    <col min="9776" max="9776" width="14.28515625" style="3" customWidth="1"/>
    <col min="9777" max="9984" width="9.140625" style="3"/>
    <col min="9985" max="9985" width="4" style="3" bestFit="1" customWidth="1"/>
    <col min="9986" max="9986" width="21.140625" style="3" customWidth="1"/>
    <col min="9987" max="9988" width="6.28515625" style="3" customWidth="1"/>
    <col min="9989" max="9990" width="0" style="3" hidden="1" customWidth="1"/>
    <col min="9991" max="9991" width="20.42578125" style="3" customWidth="1"/>
    <col min="9992" max="9993" width="0" style="3" hidden="1" customWidth="1"/>
    <col min="9994" max="9994" width="16.140625" style="3" customWidth="1"/>
    <col min="9995" max="9996" width="0" style="3" hidden="1" customWidth="1"/>
    <col min="9997" max="9997" width="19.140625" style="3" customWidth="1"/>
    <col min="9998" max="9999" width="0" style="3" hidden="1" customWidth="1"/>
    <col min="10000" max="10000" width="20.85546875" style="3" customWidth="1"/>
    <col min="10001" max="10002" width="0" style="3" hidden="1" customWidth="1"/>
    <col min="10003" max="10003" width="23" style="3" customWidth="1"/>
    <col min="10004" max="10009" width="0" style="3" hidden="1" customWidth="1"/>
    <col min="10010" max="10010" width="18.85546875" style="3" customWidth="1"/>
    <col min="10011" max="10011" width="0" style="3" hidden="1" customWidth="1"/>
    <col min="10012" max="10012" width="14.140625" style="3" customWidth="1"/>
    <col min="10013" max="10014" width="0" style="3" hidden="1" customWidth="1"/>
    <col min="10015" max="10015" width="17.28515625" style="3" customWidth="1"/>
    <col min="10016" max="10017" width="0" style="3" hidden="1" customWidth="1"/>
    <col min="10018" max="10018" width="18.140625" style="3" customWidth="1"/>
    <col min="10019" max="10020" width="0" style="3" hidden="1" customWidth="1"/>
    <col min="10021" max="10021" width="17" style="3" customWidth="1"/>
    <col min="10022" max="10023" width="0" style="3" hidden="1" customWidth="1"/>
    <col min="10024" max="10024" width="15.5703125" style="3" customWidth="1"/>
    <col min="10025" max="10026" width="0" style="3" hidden="1" customWidth="1"/>
    <col min="10027" max="10027" width="16.28515625" style="3" customWidth="1"/>
    <col min="10028" max="10028" width="0" style="3" hidden="1" customWidth="1"/>
    <col min="10029" max="10029" width="14.42578125" style="3" customWidth="1"/>
    <col min="10030" max="10031" width="0" style="3" hidden="1" customWidth="1"/>
    <col min="10032" max="10032" width="14.28515625" style="3" customWidth="1"/>
    <col min="10033" max="10240" width="9.140625" style="3"/>
    <col min="10241" max="10241" width="4" style="3" bestFit="1" customWidth="1"/>
    <col min="10242" max="10242" width="21.140625" style="3" customWidth="1"/>
    <col min="10243" max="10244" width="6.28515625" style="3" customWidth="1"/>
    <col min="10245" max="10246" width="0" style="3" hidden="1" customWidth="1"/>
    <col min="10247" max="10247" width="20.42578125" style="3" customWidth="1"/>
    <col min="10248" max="10249" width="0" style="3" hidden="1" customWidth="1"/>
    <col min="10250" max="10250" width="16.140625" style="3" customWidth="1"/>
    <col min="10251" max="10252" width="0" style="3" hidden="1" customWidth="1"/>
    <col min="10253" max="10253" width="19.140625" style="3" customWidth="1"/>
    <col min="10254" max="10255" width="0" style="3" hidden="1" customWidth="1"/>
    <col min="10256" max="10256" width="20.85546875" style="3" customWidth="1"/>
    <col min="10257" max="10258" width="0" style="3" hidden="1" customWidth="1"/>
    <col min="10259" max="10259" width="23" style="3" customWidth="1"/>
    <col min="10260" max="10265" width="0" style="3" hidden="1" customWidth="1"/>
    <col min="10266" max="10266" width="18.85546875" style="3" customWidth="1"/>
    <col min="10267" max="10267" width="0" style="3" hidden="1" customWidth="1"/>
    <col min="10268" max="10268" width="14.140625" style="3" customWidth="1"/>
    <col min="10269" max="10270" width="0" style="3" hidden="1" customWidth="1"/>
    <col min="10271" max="10271" width="17.28515625" style="3" customWidth="1"/>
    <col min="10272" max="10273" width="0" style="3" hidden="1" customWidth="1"/>
    <col min="10274" max="10274" width="18.140625" style="3" customWidth="1"/>
    <col min="10275" max="10276" width="0" style="3" hidden="1" customWidth="1"/>
    <col min="10277" max="10277" width="17" style="3" customWidth="1"/>
    <col min="10278" max="10279" width="0" style="3" hidden="1" customWidth="1"/>
    <col min="10280" max="10280" width="15.5703125" style="3" customWidth="1"/>
    <col min="10281" max="10282" width="0" style="3" hidden="1" customWidth="1"/>
    <col min="10283" max="10283" width="16.28515625" style="3" customWidth="1"/>
    <col min="10284" max="10284" width="0" style="3" hidden="1" customWidth="1"/>
    <col min="10285" max="10285" width="14.42578125" style="3" customWidth="1"/>
    <col min="10286" max="10287" width="0" style="3" hidden="1" customWidth="1"/>
    <col min="10288" max="10288" width="14.28515625" style="3" customWidth="1"/>
    <col min="10289" max="10496" width="9.140625" style="3"/>
    <col min="10497" max="10497" width="4" style="3" bestFit="1" customWidth="1"/>
    <col min="10498" max="10498" width="21.140625" style="3" customWidth="1"/>
    <col min="10499" max="10500" width="6.28515625" style="3" customWidth="1"/>
    <col min="10501" max="10502" width="0" style="3" hidden="1" customWidth="1"/>
    <col min="10503" max="10503" width="20.42578125" style="3" customWidth="1"/>
    <col min="10504" max="10505" width="0" style="3" hidden="1" customWidth="1"/>
    <col min="10506" max="10506" width="16.140625" style="3" customWidth="1"/>
    <col min="10507" max="10508" width="0" style="3" hidden="1" customWidth="1"/>
    <col min="10509" max="10509" width="19.140625" style="3" customWidth="1"/>
    <col min="10510" max="10511" width="0" style="3" hidden="1" customWidth="1"/>
    <col min="10512" max="10512" width="20.85546875" style="3" customWidth="1"/>
    <col min="10513" max="10514" width="0" style="3" hidden="1" customWidth="1"/>
    <col min="10515" max="10515" width="23" style="3" customWidth="1"/>
    <col min="10516" max="10521" width="0" style="3" hidden="1" customWidth="1"/>
    <col min="10522" max="10522" width="18.85546875" style="3" customWidth="1"/>
    <col min="10523" max="10523" width="0" style="3" hidden="1" customWidth="1"/>
    <col min="10524" max="10524" width="14.140625" style="3" customWidth="1"/>
    <col min="10525" max="10526" width="0" style="3" hidden="1" customWidth="1"/>
    <col min="10527" max="10527" width="17.28515625" style="3" customWidth="1"/>
    <col min="10528" max="10529" width="0" style="3" hidden="1" customWidth="1"/>
    <col min="10530" max="10530" width="18.140625" style="3" customWidth="1"/>
    <col min="10531" max="10532" width="0" style="3" hidden="1" customWidth="1"/>
    <col min="10533" max="10533" width="17" style="3" customWidth="1"/>
    <col min="10534" max="10535" width="0" style="3" hidden="1" customWidth="1"/>
    <col min="10536" max="10536" width="15.5703125" style="3" customWidth="1"/>
    <col min="10537" max="10538" width="0" style="3" hidden="1" customWidth="1"/>
    <col min="10539" max="10539" width="16.28515625" style="3" customWidth="1"/>
    <col min="10540" max="10540" width="0" style="3" hidden="1" customWidth="1"/>
    <col min="10541" max="10541" width="14.42578125" style="3" customWidth="1"/>
    <col min="10542" max="10543" width="0" style="3" hidden="1" customWidth="1"/>
    <col min="10544" max="10544" width="14.28515625" style="3" customWidth="1"/>
    <col min="10545" max="10752" width="9.140625" style="3"/>
    <col min="10753" max="10753" width="4" style="3" bestFit="1" customWidth="1"/>
    <col min="10754" max="10754" width="21.140625" style="3" customWidth="1"/>
    <col min="10755" max="10756" width="6.28515625" style="3" customWidth="1"/>
    <col min="10757" max="10758" width="0" style="3" hidden="1" customWidth="1"/>
    <col min="10759" max="10759" width="20.42578125" style="3" customWidth="1"/>
    <col min="10760" max="10761" width="0" style="3" hidden="1" customWidth="1"/>
    <col min="10762" max="10762" width="16.140625" style="3" customWidth="1"/>
    <col min="10763" max="10764" width="0" style="3" hidden="1" customWidth="1"/>
    <col min="10765" max="10765" width="19.140625" style="3" customWidth="1"/>
    <col min="10766" max="10767" width="0" style="3" hidden="1" customWidth="1"/>
    <col min="10768" max="10768" width="20.85546875" style="3" customWidth="1"/>
    <col min="10769" max="10770" width="0" style="3" hidden="1" customWidth="1"/>
    <col min="10771" max="10771" width="23" style="3" customWidth="1"/>
    <col min="10772" max="10777" width="0" style="3" hidden="1" customWidth="1"/>
    <col min="10778" max="10778" width="18.85546875" style="3" customWidth="1"/>
    <col min="10779" max="10779" width="0" style="3" hidden="1" customWidth="1"/>
    <col min="10780" max="10780" width="14.140625" style="3" customWidth="1"/>
    <col min="10781" max="10782" width="0" style="3" hidden="1" customWidth="1"/>
    <col min="10783" max="10783" width="17.28515625" style="3" customWidth="1"/>
    <col min="10784" max="10785" width="0" style="3" hidden="1" customWidth="1"/>
    <col min="10786" max="10786" width="18.140625" style="3" customWidth="1"/>
    <col min="10787" max="10788" width="0" style="3" hidden="1" customWidth="1"/>
    <col min="10789" max="10789" width="17" style="3" customWidth="1"/>
    <col min="10790" max="10791" width="0" style="3" hidden="1" customWidth="1"/>
    <col min="10792" max="10792" width="15.5703125" style="3" customWidth="1"/>
    <col min="10793" max="10794" width="0" style="3" hidden="1" customWidth="1"/>
    <col min="10795" max="10795" width="16.28515625" style="3" customWidth="1"/>
    <col min="10796" max="10796" width="0" style="3" hidden="1" customWidth="1"/>
    <col min="10797" max="10797" width="14.42578125" style="3" customWidth="1"/>
    <col min="10798" max="10799" width="0" style="3" hidden="1" customWidth="1"/>
    <col min="10800" max="10800" width="14.28515625" style="3" customWidth="1"/>
    <col min="10801" max="11008" width="9.140625" style="3"/>
    <col min="11009" max="11009" width="4" style="3" bestFit="1" customWidth="1"/>
    <col min="11010" max="11010" width="21.140625" style="3" customWidth="1"/>
    <col min="11011" max="11012" width="6.28515625" style="3" customWidth="1"/>
    <col min="11013" max="11014" width="0" style="3" hidden="1" customWidth="1"/>
    <col min="11015" max="11015" width="20.42578125" style="3" customWidth="1"/>
    <col min="11016" max="11017" width="0" style="3" hidden="1" customWidth="1"/>
    <col min="11018" max="11018" width="16.140625" style="3" customWidth="1"/>
    <col min="11019" max="11020" width="0" style="3" hidden="1" customWidth="1"/>
    <col min="11021" max="11021" width="19.140625" style="3" customWidth="1"/>
    <col min="11022" max="11023" width="0" style="3" hidden="1" customWidth="1"/>
    <col min="11024" max="11024" width="20.85546875" style="3" customWidth="1"/>
    <col min="11025" max="11026" width="0" style="3" hidden="1" customWidth="1"/>
    <col min="11027" max="11027" width="23" style="3" customWidth="1"/>
    <col min="11028" max="11033" width="0" style="3" hidden="1" customWidth="1"/>
    <col min="11034" max="11034" width="18.85546875" style="3" customWidth="1"/>
    <col min="11035" max="11035" width="0" style="3" hidden="1" customWidth="1"/>
    <col min="11036" max="11036" width="14.140625" style="3" customWidth="1"/>
    <col min="11037" max="11038" width="0" style="3" hidden="1" customWidth="1"/>
    <col min="11039" max="11039" width="17.28515625" style="3" customWidth="1"/>
    <col min="11040" max="11041" width="0" style="3" hidden="1" customWidth="1"/>
    <col min="11042" max="11042" width="18.140625" style="3" customWidth="1"/>
    <col min="11043" max="11044" width="0" style="3" hidden="1" customWidth="1"/>
    <col min="11045" max="11045" width="17" style="3" customWidth="1"/>
    <col min="11046" max="11047" width="0" style="3" hidden="1" customWidth="1"/>
    <col min="11048" max="11048" width="15.5703125" style="3" customWidth="1"/>
    <col min="11049" max="11050" width="0" style="3" hidden="1" customWidth="1"/>
    <col min="11051" max="11051" width="16.28515625" style="3" customWidth="1"/>
    <col min="11052" max="11052" width="0" style="3" hidden="1" customWidth="1"/>
    <col min="11053" max="11053" width="14.42578125" style="3" customWidth="1"/>
    <col min="11054" max="11055" width="0" style="3" hidden="1" customWidth="1"/>
    <col min="11056" max="11056" width="14.28515625" style="3" customWidth="1"/>
    <col min="11057" max="11264" width="9.140625" style="3"/>
    <col min="11265" max="11265" width="4" style="3" bestFit="1" customWidth="1"/>
    <col min="11266" max="11266" width="21.140625" style="3" customWidth="1"/>
    <col min="11267" max="11268" width="6.28515625" style="3" customWidth="1"/>
    <col min="11269" max="11270" width="0" style="3" hidden="1" customWidth="1"/>
    <col min="11271" max="11271" width="20.42578125" style="3" customWidth="1"/>
    <col min="11272" max="11273" width="0" style="3" hidden="1" customWidth="1"/>
    <col min="11274" max="11274" width="16.140625" style="3" customWidth="1"/>
    <col min="11275" max="11276" width="0" style="3" hidden="1" customWidth="1"/>
    <col min="11277" max="11277" width="19.140625" style="3" customWidth="1"/>
    <col min="11278" max="11279" width="0" style="3" hidden="1" customWidth="1"/>
    <col min="11280" max="11280" width="20.85546875" style="3" customWidth="1"/>
    <col min="11281" max="11282" width="0" style="3" hidden="1" customWidth="1"/>
    <col min="11283" max="11283" width="23" style="3" customWidth="1"/>
    <col min="11284" max="11289" width="0" style="3" hidden="1" customWidth="1"/>
    <col min="11290" max="11290" width="18.85546875" style="3" customWidth="1"/>
    <col min="11291" max="11291" width="0" style="3" hidden="1" customWidth="1"/>
    <col min="11292" max="11292" width="14.140625" style="3" customWidth="1"/>
    <col min="11293" max="11294" width="0" style="3" hidden="1" customWidth="1"/>
    <col min="11295" max="11295" width="17.28515625" style="3" customWidth="1"/>
    <col min="11296" max="11297" width="0" style="3" hidden="1" customWidth="1"/>
    <col min="11298" max="11298" width="18.140625" style="3" customWidth="1"/>
    <col min="11299" max="11300" width="0" style="3" hidden="1" customWidth="1"/>
    <col min="11301" max="11301" width="17" style="3" customWidth="1"/>
    <col min="11302" max="11303" width="0" style="3" hidden="1" customWidth="1"/>
    <col min="11304" max="11304" width="15.5703125" style="3" customWidth="1"/>
    <col min="11305" max="11306" width="0" style="3" hidden="1" customWidth="1"/>
    <col min="11307" max="11307" width="16.28515625" style="3" customWidth="1"/>
    <col min="11308" max="11308" width="0" style="3" hidden="1" customWidth="1"/>
    <col min="11309" max="11309" width="14.42578125" style="3" customWidth="1"/>
    <col min="11310" max="11311" width="0" style="3" hidden="1" customWidth="1"/>
    <col min="11312" max="11312" width="14.28515625" style="3" customWidth="1"/>
    <col min="11313" max="11520" width="9.140625" style="3"/>
    <col min="11521" max="11521" width="4" style="3" bestFit="1" customWidth="1"/>
    <col min="11522" max="11522" width="21.140625" style="3" customWidth="1"/>
    <col min="11523" max="11524" width="6.28515625" style="3" customWidth="1"/>
    <col min="11525" max="11526" width="0" style="3" hidden="1" customWidth="1"/>
    <col min="11527" max="11527" width="20.42578125" style="3" customWidth="1"/>
    <col min="11528" max="11529" width="0" style="3" hidden="1" customWidth="1"/>
    <col min="11530" max="11530" width="16.140625" style="3" customWidth="1"/>
    <col min="11531" max="11532" width="0" style="3" hidden="1" customWidth="1"/>
    <col min="11533" max="11533" width="19.140625" style="3" customWidth="1"/>
    <col min="11534" max="11535" width="0" style="3" hidden="1" customWidth="1"/>
    <col min="11536" max="11536" width="20.85546875" style="3" customWidth="1"/>
    <col min="11537" max="11538" width="0" style="3" hidden="1" customWidth="1"/>
    <col min="11539" max="11539" width="23" style="3" customWidth="1"/>
    <col min="11540" max="11545" width="0" style="3" hidden="1" customWidth="1"/>
    <col min="11546" max="11546" width="18.85546875" style="3" customWidth="1"/>
    <col min="11547" max="11547" width="0" style="3" hidden="1" customWidth="1"/>
    <col min="11548" max="11548" width="14.140625" style="3" customWidth="1"/>
    <col min="11549" max="11550" width="0" style="3" hidden="1" customWidth="1"/>
    <col min="11551" max="11551" width="17.28515625" style="3" customWidth="1"/>
    <col min="11552" max="11553" width="0" style="3" hidden="1" customWidth="1"/>
    <col min="11554" max="11554" width="18.140625" style="3" customWidth="1"/>
    <col min="11555" max="11556" width="0" style="3" hidden="1" customWidth="1"/>
    <col min="11557" max="11557" width="17" style="3" customWidth="1"/>
    <col min="11558" max="11559" width="0" style="3" hidden="1" customWidth="1"/>
    <col min="11560" max="11560" width="15.5703125" style="3" customWidth="1"/>
    <col min="11561" max="11562" width="0" style="3" hidden="1" customWidth="1"/>
    <col min="11563" max="11563" width="16.28515625" style="3" customWidth="1"/>
    <col min="11564" max="11564" width="0" style="3" hidden="1" customWidth="1"/>
    <col min="11565" max="11565" width="14.42578125" style="3" customWidth="1"/>
    <col min="11566" max="11567" width="0" style="3" hidden="1" customWidth="1"/>
    <col min="11568" max="11568" width="14.28515625" style="3" customWidth="1"/>
    <col min="11569" max="11776" width="9.140625" style="3"/>
    <col min="11777" max="11777" width="4" style="3" bestFit="1" customWidth="1"/>
    <col min="11778" max="11778" width="21.140625" style="3" customWidth="1"/>
    <col min="11779" max="11780" width="6.28515625" style="3" customWidth="1"/>
    <col min="11781" max="11782" width="0" style="3" hidden="1" customWidth="1"/>
    <col min="11783" max="11783" width="20.42578125" style="3" customWidth="1"/>
    <col min="11784" max="11785" width="0" style="3" hidden="1" customWidth="1"/>
    <col min="11786" max="11786" width="16.140625" style="3" customWidth="1"/>
    <col min="11787" max="11788" width="0" style="3" hidden="1" customWidth="1"/>
    <col min="11789" max="11789" width="19.140625" style="3" customWidth="1"/>
    <col min="11790" max="11791" width="0" style="3" hidden="1" customWidth="1"/>
    <col min="11792" max="11792" width="20.85546875" style="3" customWidth="1"/>
    <col min="11793" max="11794" width="0" style="3" hidden="1" customWidth="1"/>
    <col min="11795" max="11795" width="23" style="3" customWidth="1"/>
    <col min="11796" max="11801" width="0" style="3" hidden="1" customWidth="1"/>
    <col min="11802" max="11802" width="18.85546875" style="3" customWidth="1"/>
    <col min="11803" max="11803" width="0" style="3" hidden="1" customWidth="1"/>
    <col min="11804" max="11804" width="14.140625" style="3" customWidth="1"/>
    <col min="11805" max="11806" width="0" style="3" hidden="1" customWidth="1"/>
    <col min="11807" max="11807" width="17.28515625" style="3" customWidth="1"/>
    <col min="11808" max="11809" width="0" style="3" hidden="1" customWidth="1"/>
    <col min="11810" max="11810" width="18.140625" style="3" customWidth="1"/>
    <col min="11811" max="11812" width="0" style="3" hidden="1" customWidth="1"/>
    <col min="11813" max="11813" width="17" style="3" customWidth="1"/>
    <col min="11814" max="11815" width="0" style="3" hidden="1" customWidth="1"/>
    <col min="11816" max="11816" width="15.5703125" style="3" customWidth="1"/>
    <col min="11817" max="11818" width="0" style="3" hidden="1" customWidth="1"/>
    <col min="11819" max="11819" width="16.28515625" style="3" customWidth="1"/>
    <col min="11820" max="11820" width="0" style="3" hidden="1" customWidth="1"/>
    <col min="11821" max="11821" width="14.42578125" style="3" customWidth="1"/>
    <col min="11822" max="11823" width="0" style="3" hidden="1" customWidth="1"/>
    <col min="11824" max="11824" width="14.28515625" style="3" customWidth="1"/>
    <col min="11825" max="12032" width="9.140625" style="3"/>
    <col min="12033" max="12033" width="4" style="3" bestFit="1" customWidth="1"/>
    <col min="12034" max="12034" width="21.140625" style="3" customWidth="1"/>
    <col min="12035" max="12036" width="6.28515625" style="3" customWidth="1"/>
    <col min="12037" max="12038" width="0" style="3" hidden="1" customWidth="1"/>
    <col min="12039" max="12039" width="20.42578125" style="3" customWidth="1"/>
    <col min="12040" max="12041" width="0" style="3" hidden="1" customWidth="1"/>
    <col min="12042" max="12042" width="16.140625" style="3" customWidth="1"/>
    <col min="12043" max="12044" width="0" style="3" hidden="1" customWidth="1"/>
    <col min="12045" max="12045" width="19.140625" style="3" customWidth="1"/>
    <col min="12046" max="12047" width="0" style="3" hidden="1" customWidth="1"/>
    <col min="12048" max="12048" width="20.85546875" style="3" customWidth="1"/>
    <col min="12049" max="12050" width="0" style="3" hidden="1" customWidth="1"/>
    <col min="12051" max="12051" width="23" style="3" customWidth="1"/>
    <col min="12052" max="12057" width="0" style="3" hidden="1" customWidth="1"/>
    <col min="12058" max="12058" width="18.85546875" style="3" customWidth="1"/>
    <col min="12059" max="12059" width="0" style="3" hidden="1" customWidth="1"/>
    <col min="12060" max="12060" width="14.140625" style="3" customWidth="1"/>
    <col min="12061" max="12062" width="0" style="3" hidden="1" customWidth="1"/>
    <col min="12063" max="12063" width="17.28515625" style="3" customWidth="1"/>
    <col min="12064" max="12065" width="0" style="3" hidden="1" customWidth="1"/>
    <col min="12066" max="12066" width="18.140625" style="3" customWidth="1"/>
    <col min="12067" max="12068" width="0" style="3" hidden="1" customWidth="1"/>
    <col min="12069" max="12069" width="17" style="3" customWidth="1"/>
    <col min="12070" max="12071" width="0" style="3" hidden="1" customWidth="1"/>
    <col min="12072" max="12072" width="15.5703125" style="3" customWidth="1"/>
    <col min="12073" max="12074" width="0" style="3" hidden="1" customWidth="1"/>
    <col min="12075" max="12075" width="16.28515625" style="3" customWidth="1"/>
    <col min="12076" max="12076" width="0" style="3" hidden="1" customWidth="1"/>
    <col min="12077" max="12077" width="14.42578125" style="3" customWidth="1"/>
    <col min="12078" max="12079" width="0" style="3" hidden="1" customWidth="1"/>
    <col min="12080" max="12080" width="14.28515625" style="3" customWidth="1"/>
    <col min="12081" max="12288" width="9.140625" style="3"/>
    <col min="12289" max="12289" width="4" style="3" bestFit="1" customWidth="1"/>
    <col min="12290" max="12290" width="21.140625" style="3" customWidth="1"/>
    <col min="12291" max="12292" width="6.28515625" style="3" customWidth="1"/>
    <col min="12293" max="12294" width="0" style="3" hidden="1" customWidth="1"/>
    <col min="12295" max="12295" width="20.42578125" style="3" customWidth="1"/>
    <col min="12296" max="12297" width="0" style="3" hidden="1" customWidth="1"/>
    <col min="12298" max="12298" width="16.140625" style="3" customWidth="1"/>
    <col min="12299" max="12300" width="0" style="3" hidden="1" customWidth="1"/>
    <col min="12301" max="12301" width="19.140625" style="3" customWidth="1"/>
    <col min="12302" max="12303" width="0" style="3" hidden="1" customWidth="1"/>
    <col min="12304" max="12304" width="20.85546875" style="3" customWidth="1"/>
    <col min="12305" max="12306" width="0" style="3" hidden="1" customWidth="1"/>
    <col min="12307" max="12307" width="23" style="3" customWidth="1"/>
    <col min="12308" max="12313" width="0" style="3" hidden="1" customWidth="1"/>
    <col min="12314" max="12314" width="18.85546875" style="3" customWidth="1"/>
    <col min="12315" max="12315" width="0" style="3" hidden="1" customWidth="1"/>
    <col min="12316" max="12316" width="14.140625" style="3" customWidth="1"/>
    <col min="12317" max="12318" width="0" style="3" hidden="1" customWidth="1"/>
    <col min="12319" max="12319" width="17.28515625" style="3" customWidth="1"/>
    <col min="12320" max="12321" width="0" style="3" hidden="1" customWidth="1"/>
    <col min="12322" max="12322" width="18.140625" style="3" customWidth="1"/>
    <col min="12323" max="12324" width="0" style="3" hidden="1" customWidth="1"/>
    <col min="12325" max="12325" width="17" style="3" customWidth="1"/>
    <col min="12326" max="12327" width="0" style="3" hidden="1" customWidth="1"/>
    <col min="12328" max="12328" width="15.5703125" style="3" customWidth="1"/>
    <col min="12329" max="12330" width="0" style="3" hidden="1" customWidth="1"/>
    <col min="12331" max="12331" width="16.28515625" style="3" customWidth="1"/>
    <col min="12332" max="12332" width="0" style="3" hidden="1" customWidth="1"/>
    <col min="12333" max="12333" width="14.42578125" style="3" customWidth="1"/>
    <col min="12334" max="12335" width="0" style="3" hidden="1" customWidth="1"/>
    <col min="12336" max="12336" width="14.28515625" style="3" customWidth="1"/>
    <col min="12337" max="12544" width="9.140625" style="3"/>
    <col min="12545" max="12545" width="4" style="3" bestFit="1" customWidth="1"/>
    <col min="12546" max="12546" width="21.140625" style="3" customWidth="1"/>
    <col min="12547" max="12548" width="6.28515625" style="3" customWidth="1"/>
    <col min="12549" max="12550" width="0" style="3" hidden="1" customWidth="1"/>
    <col min="12551" max="12551" width="20.42578125" style="3" customWidth="1"/>
    <col min="12552" max="12553" width="0" style="3" hidden="1" customWidth="1"/>
    <col min="12554" max="12554" width="16.140625" style="3" customWidth="1"/>
    <col min="12555" max="12556" width="0" style="3" hidden="1" customWidth="1"/>
    <col min="12557" max="12557" width="19.140625" style="3" customWidth="1"/>
    <col min="12558" max="12559" width="0" style="3" hidden="1" customWidth="1"/>
    <col min="12560" max="12560" width="20.85546875" style="3" customWidth="1"/>
    <col min="12561" max="12562" width="0" style="3" hidden="1" customWidth="1"/>
    <col min="12563" max="12563" width="23" style="3" customWidth="1"/>
    <col min="12564" max="12569" width="0" style="3" hidden="1" customWidth="1"/>
    <col min="12570" max="12570" width="18.85546875" style="3" customWidth="1"/>
    <col min="12571" max="12571" width="0" style="3" hidden="1" customWidth="1"/>
    <col min="12572" max="12572" width="14.140625" style="3" customWidth="1"/>
    <col min="12573" max="12574" width="0" style="3" hidden="1" customWidth="1"/>
    <col min="12575" max="12575" width="17.28515625" style="3" customWidth="1"/>
    <col min="12576" max="12577" width="0" style="3" hidden="1" customWidth="1"/>
    <col min="12578" max="12578" width="18.140625" style="3" customWidth="1"/>
    <col min="12579" max="12580" width="0" style="3" hidden="1" customWidth="1"/>
    <col min="12581" max="12581" width="17" style="3" customWidth="1"/>
    <col min="12582" max="12583" width="0" style="3" hidden="1" customWidth="1"/>
    <col min="12584" max="12584" width="15.5703125" style="3" customWidth="1"/>
    <col min="12585" max="12586" width="0" style="3" hidden="1" customWidth="1"/>
    <col min="12587" max="12587" width="16.28515625" style="3" customWidth="1"/>
    <col min="12588" max="12588" width="0" style="3" hidden="1" customWidth="1"/>
    <col min="12589" max="12589" width="14.42578125" style="3" customWidth="1"/>
    <col min="12590" max="12591" width="0" style="3" hidden="1" customWidth="1"/>
    <col min="12592" max="12592" width="14.28515625" style="3" customWidth="1"/>
    <col min="12593" max="12800" width="9.140625" style="3"/>
    <col min="12801" max="12801" width="4" style="3" bestFit="1" customWidth="1"/>
    <col min="12802" max="12802" width="21.140625" style="3" customWidth="1"/>
    <col min="12803" max="12804" width="6.28515625" style="3" customWidth="1"/>
    <col min="12805" max="12806" width="0" style="3" hidden="1" customWidth="1"/>
    <col min="12807" max="12807" width="20.42578125" style="3" customWidth="1"/>
    <col min="12808" max="12809" width="0" style="3" hidden="1" customWidth="1"/>
    <col min="12810" max="12810" width="16.140625" style="3" customWidth="1"/>
    <col min="12811" max="12812" width="0" style="3" hidden="1" customWidth="1"/>
    <col min="12813" max="12813" width="19.140625" style="3" customWidth="1"/>
    <col min="12814" max="12815" width="0" style="3" hidden="1" customWidth="1"/>
    <col min="12816" max="12816" width="20.85546875" style="3" customWidth="1"/>
    <col min="12817" max="12818" width="0" style="3" hidden="1" customWidth="1"/>
    <col min="12819" max="12819" width="23" style="3" customWidth="1"/>
    <col min="12820" max="12825" width="0" style="3" hidden="1" customWidth="1"/>
    <col min="12826" max="12826" width="18.85546875" style="3" customWidth="1"/>
    <col min="12827" max="12827" width="0" style="3" hidden="1" customWidth="1"/>
    <col min="12828" max="12828" width="14.140625" style="3" customWidth="1"/>
    <col min="12829" max="12830" width="0" style="3" hidden="1" customWidth="1"/>
    <col min="12831" max="12831" width="17.28515625" style="3" customWidth="1"/>
    <col min="12832" max="12833" width="0" style="3" hidden="1" customWidth="1"/>
    <col min="12834" max="12834" width="18.140625" style="3" customWidth="1"/>
    <col min="12835" max="12836" width="0" style="3" hidden="1" customWidth="1"/>
    <col min="12837" max="12837" width="17" style="3" customWidth="1"/>
    <col min="12838" max="12839" width="0" style="3" hidden="1" customWidth="1"/>
    <col min="12840" max="12840" width="15.5703125" style="3" customWidth="1"/>
    <col min="12841" max="12842" width="0" style="3" hidden="1" customWidth="1"/>
    <col min="12843" max="12843" width="16.28515625" style="3" customWidth="1"/>
    <col min="12844" max="12844" width="0" style="3" hidden="1" customWidth="1"/>
    <col min="12845" max="12845" width="14.42578125" style="3" customWidth="1"/>
    <col min="12846" max="12847" width="0" style="3" hidden="1" customWidth="1"/>
    <col min="12848" max="12848" width="14.28515625" style="3" customWidth="1"/>
    <col min="12849" max="13056" width="9.140625" style="3"/>
    <col min="13057" max="13057" width="4" style="3" bestFit="1" customWidth="1"/>
    <col min="13058" max="13058" width="21.140625" style="3" customWidth="1"/>
    <col min="13059" max="13060" width="6.28515625" style="3" customWidth="1"/>
    <col min="13061" max="13062" width="0" style="3" hidden="1" customWidth="1"/>
    <col min="13063" max="13063" width="20.42578125" style="3" customWidth="1"/>
    <col min="13064" max="13065" width="0" style="3" hidden="1" customWidth="1"/>
    <col min="13066" max="13066" width="16.140625" style="3" customWidth="1"/>
    <col min="13067" max="13068" width="0" style="3" hidden="1" customWidth="1"/>
    <col min="13069" max="13069" width="19.140625" style="3" customWidth="1"/>
    <col min="13070" max="13071" width="0" style="3" hidden="1" customWidth="1"/>
    <col min="13072" max="13072" width="20.85546875" style="3" customWidth="1"/>
    <col min="13073" max="13074" width="0" style="3" hidden="1" customWidth="1"/>
    <col min="13075" max="13075" width="23" style="3" customWidth="1"/>
    <col min="13076" max="13081" width="0" style="3" hidden="1" customWidth="1"/>
    <col min="13082" max="13082" width="18.85546875" style="3" customWidth="1"/>
    <col min="13083" max="13083" width="0" style="3" hidden="1" customWidth="1"/>
    <col min="13084" max="13084" width="14.140625" style="3" customWidth="1"/>
    <col min="13085" max="13086" width="0" style="3" hidden="1" customWidth="1"/>
    <col min="13087" max="13087" width="17.28515625" style="3" customWidth="1"/>
    <col min="13088" max="13089" width="0" style="3" hidden="1" customWidth="1"/>
    <col min="13090" max="13090" width="18.140625" style="3" customWidth="1"/>
    <col min="13091" max="13092" width="0" style="3" hidden="1" customWidth="1"/>
    <col min="13093" max="13093" width="17" style="3" customWidth="1"/>
    <col min="13094" max="13095" width="0" style="3" hidden="1" customWidth="1"/>
    <col min="13096" max="13096" width="15.5703125" style="3" customWidth="1"/>
    <col min="13097" max="13098" width="0" style="3" hidden="1" customWidth="1"/>
    <col min="13099" max="13099" width="16.28515625" style="3" customWidth="1"/>
    <col min="13100" max="13100" width="0" style="3" hidden="1" customWidth="1"/>
    <col min="13101" max="13101" width="14.42578125" style="3" customWidth="1"/>
    <col min="13102" max="13103" width="0" style="3" hidden="1" customWidth="1"/>
    <col min="13104" max="13104" width="14.28515625" style="3" customWidth="1"/>
    <col min="13105" max="13312" width="9.140625" style="3"/>
    <col min="13313" max="13313" width="4" style="3" bestFit="1" customWidth="1"/>
    <col min="13314" max="13314" width="21.140625" style="3" customWidth="1"/>
    <col min="13315" max="13316" width="6.28515625" style="3" customWidth="1"/>
    <col min="13317" max="13318" width="0" style="3" hidden="1" customWidth="1"/>
    <col min="13319" max="13319" width="20.42578125" style="3" customWidth="1"/>
    <col min="13320" max="13321" width="0" style="3" hidden="1" customWidth="1"/>
    <col min="13322" max="13322" width="16.140625" style="3" customWidth="1"/>
    <col min="13323" max="13324" width="0" style="3" hidden="1" customWidth="1"/>
    <col min="13325" max="13325" width="19.140625" style="3" customWidth="1"/>
    <col min="13326" max="13327" width="0" style="3" hidden="1" customWidth="1"/>
    <col min="13328" max="13328" width="20.85546875" style="3" customWidth="1"/>
    <col min="13329" max="13330" width="0" style="3" hidden="1" customWidth="1"/>
    <col min="13331" max="13331" width="23" style="3" customWidth="1"/>
    <col min="13332" max="13337" width="0" style="3" hidden="1" customWidth="1"/>
    <col min="13338" max="13338" width="18.85546875" style="3" customWidth="1"/>
    <col min="13339" max="13339" width="0" style="3" hidden="1" customWidth="1"/>
    <col min="13340" max="13340" width="14.140625" style="3" customWidth="1"/>
    <col min="13341" max="13342" width="0" style="3" hidden="1" customWidth="1"/>
    <col min="13343" max="13343" width="17.28515625" style="3" customWidth="1"/>
    <col min="13344" max="13345" width="0" style="3" hidden="1" customWidth="1"/>
    <col min="13346" max="13346" width="18.140625" style="3" customWidth="1"/>
    <col min="13347" max="13348" width="0" style="3" hidden="1" customWidth="1"/>
    <col min="13349" max="13349" width="17" style="3" customWidth="1"/>
    <col min="13350" max="13351" width="0" style="3" hidden="1" customWidth="1"/>
    <col min="13352" max="13352" width="15.5703125" style="3" customWidth="1"/>
    <col min="13353" max="13354" width="0" style="3" hidden="1" customWidth="1"/>
    <col min="13355" max="13355" width="16.28515625" style="3" customWidth="1"/>
    <col min="13356" max="13356" width="0" style="3" hidden="1" customWidth="1"/>
    <col min="13357" max="13357" width="14.42578125" style="3" customWidth="1"/>
    <col min="13358" max="13359" width="0" style="3" hidden="1" customWidth="1"/>
    <col min="13360" max="13360" width="14.28515625" style="3" customWidth="1"/>
    <col min="13361" max="13568" width="9.140625" style="3"/>
    <col min="13569" max="13569" width="4" style="3" bestFit="1" customWidth="1"/>
    <col min="13570" max="13570" width="21.140625" style="3" customWidth="1"/>
    <col min="13571" max="13572" width="6.28515625" style="3" customWidth="1"/>
    <col min="13573" max="13574" width="0" style="3" hidden="1" customWidth="1"/>
    <col min="13575" max="13575" width="20.42578125" style="3" customWidth="1"/>
    <col min="13576" max="13577" width="0" style="3" hidden="1" customWidth="1"/>
    <col min="13578" max="13578" width="16.140625" style="3" customWidth="1"/>
    <col min="13579" max="13580" width="0" style="3" hidden="1" customWidth="1"/>
    <col min="13581" max="13581" width="19.140625" style="3" customWidth="1"/>
    <col min="13582" max="13583" width="0" style="3" hidden="1" customWidth="1"/>
    <col min="13584" max="13584" width="20.85546875" style="3" customWidth="1"/>
    <col min="13585" max="13586" width="0" style="3" hidden="1" customWidth="1"/>
    <col min="13587" max="13587" width="23" style="3" customWidth="1"/>
    <col min="13588" max="13593" width="0" style="3" hidden="1" customWidth="1"/>
    <col min="13594" max="13594" width="18.85546875" style="3" customWidth="1"/>
    <col min="13595" max="13595" width="0" style="3" hidden="1" customWidth="1"/>
    <col min="13596" max="13596" width="14.140625" style="3" customWidth="1"/>
    <col min="13597" max="13598" width="0" style="3" hidden="1" customWidth="1"/>
    <col min="13599" max="13599" width="17.28515625" style="3" customWidth="1"/>
    <col min="13600" max="13601" width="0" style="3" hidden="1" customWidth="1"/>
    <col min="13602" max="13602" width="18.140625" style="3" customWidth="1"/>
    <col min="13603" max="13604" width="0" style="3" hidden="1" customWidth="1"/>
    <col min="13605" max="13605" width="17" style="3" customWidth="1"/>
    <col min="13606" max="13607" width="0" style="3" hidden="1" customWidth="1"/>
    <col min="13608" max="13608" width="15.5703125" style="3" customWidth="1"/>
    <col min="13609" max="13610" width="0" style="3" hidden="1" customWidth="1"/>
    <col min="13611" max="13611" width="16.28515625" style="3" customWidth="1"/>
    <col min="13612" max="13612" width="0" style="3" hidden="1" customWidth="1"/>
    <col min="13613" max="13613" width="14.42578125" style="3" customWidth="1"/>
    <col min="13614" max="13615" width="0" style="3" hidden="1" customWidth="1"/>
    <col min="13616" max="13616" width="14.28515625" style="3" customWidth="1"/>
    <col min="13617" max="13824" width="9.140625" style="3"/>
    <col min="13825" max="13825" width="4" style="3" bestFit="1" customWidth="1"/>
    <col min="13826" max="13826" width="21.140625" style="3" customWidth="1"/>
    <col min="13827" max="13828" width="6.28515625" style="3" customWidth="1"/>
    <col min="13829" max="13830" width="0" style="3" hidden="1" customWidth="1"/>
    <col min="13831" max="13831" width="20.42578125" style="3" customWidth="1"/>
    <col min="13832" max="13833" width="0" style="3" hidden="1" customWidth="1"/>
    <col min="13834" max="13834" width="16.140625" style="3" customWidth="1"/>
    <col min="13835" max="13836" width="0" style="3" hidden="1" customWidth="1"/>
    <col min="13837" max="13837" width="19.140625" style="3" customWidth="1"/>
    <col min="13838" max="13839" width="0" style="3" hidden="1" customWidth="1"/>
    <col min="13840" max="13840" width="20.85546875" style="3" customWidth="1"/>
    <col min="13841" max="13842" width="0" style="3" hidden="1" customWidth="1"/>
    <col min="13843" max="13843" width="23" style="3" customWidth="1"/>
    <col min="13844" max="13849" width="0" style="3" hidden="1" customWidth="1"/>
    <col min="13850" max="13850" width="18.85546875" style="3" customWidth="1"/>
    <col min="13851" max="13851" width="0" style="3" hidden="1" customWidth="1"/>
    <col min="13852" max="13852" width="14.140625" style="3" customWidth="1"/>
    <col min="13853" max="13854" width="0" style="3" hidden="1" customWidth="1"/>
    <col min="13855" max="13855" width="17.28515625" style="3" customWidth="1"/>
    <col min="13856" max="13857" width="0" style="3" hidden="1" customWidth="1"/>
    <col min="13858" max="13858" width="18.140625" style="3" customWidth="1"/>
    <col min="13859" max="13860" width="0" style="3" hidden="1" customWidth="1"/>
    <col min="13861" max="13861" width="17" style="3" customWidth="1"/>
    <col min="13862" max="13863" width="0" style="3" hidden="1" customWidth="1"/>
    <col min="13864" max="13864" width="15.5703125" style="3" customWidth="1"/>
    <col min="13865" max="13866" width="0" style="3" hidden="1" customWidth="1"/>
    <col min="13867" max="13867" width="16.28515625" style="3" customWidth="1"/>
    <col min="13868" max="13868" width="0" style="3" hidden="1" customWidth="1"/>
    <col min="13869" max="13869" width="14.42578125" style="3" customWidth="1"/>
    <col min="13870" max="13871" width="0" style="3" hidden="1" customWidth="1"/>
    <col min="13872" max="13872" width="14.28515625" style="3" customWidth="1"/>
    <col min="13873" max="14080" width="9.140625" style="3"/>
    <col min="14081" max="14081" width="4" style="3" bestFit="1" customWidth="1"/>
    <col min="14082" max="14082" width="21.140625" style="3" customWidth="1"/>
    <col min="14083" max="14084" width="6.28515625" style="3" customWidth="1"/>
    <col min="14085" max="14086" width="0" style="3" hidden="1" customWidth="1"/>
    <col min="14087" max="14087" width="20.42578125" style="3" customWidth="1"/>
    <col min="14088" max="14089" width="0" style="3" hidden="1" customWidth="1"/>
    <col min="14090" max="14090" width="16.140625" style="3" customWidth="1"/>
    <col min="14091" max="14092" width="0" style="3" hidden="1" customWidth="1"/>
    <col min="14093" max="14093" width="19.140625" style="3" customWidth="1"/>
    <col min="14094" max="14095" width="0" style="3" hidden="1" customWidth="1"/>
    <col min="14096" max="14096" width="20.85546875" style="3" customWidth="1"/>
    <col min="14097" max="14098" width="0" style="3" hidden="1" customWidth="1"/>
    <col min="14099" max="14099" width="23" style="3" customWidth="1"/>
    <col min="14100" max="14105" width="0" style="3" hidden="1" customWidth="1"/>
    <col min="14106" max="14106" width="18.85546875" style="3" customWidth="1"/>
    <col min="14107" max="14107" width="0" style="3" hidden="1" customWidth="1"/>
    <col min="14108" max="14108" width="14.140625" style="3" customWidth="1"/>
    <col min="14109" max="14110" width="0" style="3" hidden="1" customWidth="1"/>
    <col min="14111" max="14111" width="17.28515625" style="3" customWidth="1"/>
    <col min="14112" max="14113" width="0" style="3" hidden="1" customWidth="1"/>
    <col min="14114" max="14114" width="18.140625" style="3" customWidth="1"/>
    <col min="14115" max="14116" width="0" style="3" hidden="1" customWidth="1"/>
    <col min="14117" max="14117" width="17" style="3" customWidth="1"/>
    <col min="14118" max="14119" width="0" style="3" hidden="1" customWidth="1"/>
    <col min="14120" max="14120" width="15.5703125" style="3" customWidth="1"/>
    <col min="14121" max="14122" width="0" style="3" hidden="1" customWidth="1"/>
    <col min="14123" max="14123" width="16.28515625" style="3" customWidth="1"/>
    <col min="14124" max="14124" width="0" style="3" hidden="1" customWidth="1"/>
    <col min="14125" max="14125" width="14.42578125" style="3" customWidth="1"/>
    <col min="14126" max="14127" width="0" style="3" hidden="1" customWidth="1"/>
    <col min="14128" max="14128" width="14.28515625" style="3" customWidth="1"/>
    <col min="14129" max="14336" width="9.140625" style="3"/>
    <col min="14337" max="14337" width="4" style="3" bestFit="1" customWidth="1"/>
    <col min="14338" max="14338" width="21.140625" style="3" customWidth="1"/>
    <col min="14339" max="14340" width="6.28515625" style="3" customWidth="1"/>
    <col min="14341" max="14342" width="0" style="3" hidden="1" customWidth="1"/>
    <col min="14343" max="14343" width="20.42578125" style="3" customWidth="1"/>
    <col min="14344" max="14345" width="0" style="3" hidden="1" customWidth="1"/>
    <col min="14346" max="14346" width="16.140625" style="3" customWidth="1"/>
    <col min="14347" max="14348" width="0" style="3" hidden="1" customWidth="1"/>
    <col min="14349" max="14349" width="19.140625" style="3" customWidth="1"/>
    <col min="14350" max="14351" width="0" style="3" hidden="1" customWidth="1"/>
    <col min="14352" max="14352" width="20.85546875" style="3" customWidth="1"/>
    <col min="14353" max="14354" width="0" style="3" hidden="1" customWidth="1"/>
    <col min="14355" max="14355" width="23" style="3" customWidth="1"/>
    <col min="14356" max="14361" width="0" style="3" hidden="1" customWidth="1"/>
    <col min="14362" max="14362" width="18.85546875" style="3" customWidth="1"/>
    <col min="14363" max="14363" width="0" style="3" hidden="1" customWidth="1"/>
    <col min="14364" max="14364" width="14.140625" style="3" customWidth="1"/>
    <col min="14365" max="14366" width="0" style="3" hidden="1" customWidth="1"/>
    <col min="14367" max="14367" width="17.28515625" style="3" customWidth="1"/>
    <col min="14368" max="14369" width="0" style="3" hidden="1" customWidth="1"/>
    <col min="14370" max="14370" width="18.140625" style="3" customWidth="1"/>
    <col min="14371" max="14372" width="0" style="3" hidden="1" customWidth="1"/>
    <col min="14373" max="14373" width="17" style="3" customWidth="1"/>
    <col min="14374" max="14375" width="0" style="3" hidden="1" customWidth="1"/>
    <col min="14376" max="14376" width="15.5703125" style="3" customWidth="1"/>
    <col min="14377" max="14378" width="0" style="3" hidden="1" customWidth="1"/>
    <col min="14379" max="14379" width="16.28515625" style="3" customWidth="1"/>
    <col min="14380" max="14380" width="0" style="3" hidden="1" customWidth="1"/>
    <col min="14381" max="14381" width="14.42578125" style="3" customWidth="1"/>
    <col min="14382" max="14383" width="0" style="3" hidden="1" customWidth="1"/>
    <col min="14384" max="14384" width="14.28515625" style="3" customWidth="1"/>
    <col min="14385" max="14592" width="9.140625" style="3"/>
    <col min="14593" max="14593" width="4" style="3" bestFit="1" customWidth="1"/>
    <col min="14594" max="14594" width="21.140625" style="3" customWidth="1"/>
    <col min="14595" max="14596" width="6.28515625" style="3" customWidth="1"/>
    <col min="14597" max="14598" width="0" style="3" hidden="1" customWidth="1"/>
    <col min="14599" max="14599" width="20.42578125" style="3" customWidth="1"/>
    <col min="14600" max="14601" width="0" style="3" hidden="1" customWidth="1"/>
    <col min="14602" max="14602" width="16.140625" style="3" customWidth="1"/>
    <col min="14603" max="14604" width="0" style="3" hidden="1" customWidth="1"/>
    <col min="14605" max="14605" width="19.140625" style="3" customWidth="1"/>
    <col min="14606" max="14607" width="0" style="3" hidden="1" customWidth="1"/>
    <col min="14608" max="14608" width="20.85546875" style="3" customWidth="1"/>
    <col min="14609" max="14610" width="0" style="3" hidden="1" customWidth="1"/>
    <col min="14611" max="14611" width="23" style="3" customWidth="1"/>
    <col min="14612" max="14617" width="0" style="3" hidden="1" customWidth="1"/>
    <col min="14618" max="14618" width="18.85546875" style="3" customWidth="1"/>
    <col min="14619" max="14619" width="0" style="3" hidden="1" customWidth="1"/>
    <col min="14620" max="14620" width="14.140625" style="3" customWidth="1"/>
    <col min="14621" max="14622" width="0" style="3" hidden="1" customWidth="1"/>
    <col min="14623" max="14623" width="17.28515625" style="3" customWidth="1"/>
    <col min="14624" max="14625" width="0" style="3" hidden="1" customWidth="1"/>
    <col min="14626" max="14626" width="18.140625" style="3" customWidth="1"/>
    <col min="14627" max="14628" width="0" style="3" hidden="1" customWidth="1"/>
    <col min="14629" max="14629" width="17" style="3" customWidth="1"/>
    <col min="14630" max="14631" width="0" style="3" hidden="1" customWidth="1"/>
    <col min="14632" max="14632" width="15.5703125" style="3" customWidth="1"/>
    <col min="14633" max="14634" width="0" style="3" hidden="1" customWidth="1"/>
    <col min="14635" max="14635" width="16.28515625" style="3" customWidth="1"/>
    <col min="14636" max="14636" width="0" style="3" hidden="1" customWidth="1"/>
    <col min="14637" max="14637" width="14.42578125" style="3" customWidth="1"/>
    <col min="14638" max="14639" width="0" style="3" hidden="1" customWidth="1"/>
    <col min="14640" max="14640" width="14.28515625" style="3" customWidth="1"/>
    <col min="14641" max="14848" width="9.140625" style="3"/>
    <col min="14849" max="14849" width="4" style="3" bestFit="1" customWidth="1"/>
    <col min="14850" max="14850" width="21.140625" style="3" customWidth="1"/>
    <col min="14851" max="14852" width="6.28515625" style="3" customWidth="1"/>
    <col min="14853" max="14854" width="0" style="3" hidden="1" customWidth="1"/>
    <col min="14855" max="14855" width="20.42578125" style="3" customWidth="1"/>
    <col min="14856" max="14857" width="0" style="3" hidden="1" customWidth="1"/>
    <col min="14858" max="14858" width="16.140625" style="3" customWidth="1"/>
    <col min="14859" max="14860" width="0" style="3" hidden="1" customWidth="1"/>
    <col min="14861" max="14861" width="19.140625" style="3" customWidth="1"/>
    <col min="14862" max="14863" width="0" style="3" hidden="1" customWidth="1"/>
    <col min="14864" max="14864" width="20.85546875" style="3" customWidth="1"/>
    <col min="14865" max="14866" width="0" style="3" hidden="1" customWidth="1"/>
    <col min="14867" max="14867" width="23" style="3" customWidth="1"/>
    <col min="14868" max="14873" width="0" style="3" hidden="1" customWidth="1"/>
    <col min="14874" max="14874" width="18.85546875" style="3" customWidth="1"/>
    <col min="14875" max="14875" width="0" style="3" hidden="1" customWidth="1"/>
    <col min="14876" max="14876" width="14.140625" style="3" customWidth="1"/>
    <col min="14877" max="14878" width="0" style="3" hidden="1" customWidth="1"/>
    <col min="14879" max="14879" width="17.28515625" style="3" customWidth="1"/>
    <col min="14880" max="14881" width="0" style="3" hidden="1" customWidth="1"/>
    <col min="14882" max="14882" width="18.140625" style="3" customWidth="1"/>
    <col min="14883" max="14884" width="0" style="3" hidden="1" customWidth="1"/>
    <col min="14885" max="14885" width="17" style="3" customWidth="1"/>
    <col min="14886" max="14887" width="0" style="3" hidden="1" customWidth="1"/>
    <col min="14888" max="14888" width="15.5703125" style="3" customWidth="1"/>
    <col min="14889" max="14890" width="0" style="3" hidden="1" customWidth="1"/>
    <col min="14891" max="14891" width="16.28515625" style="3" customWidth="1"/>
    <col min="14892" max="14892" width="0" style="3" hidden="1" customWidth="1"/>
    <col min="14893" max="14893" width="14.42578125" style="3" customWidth="1"/>
    <col min="14894" max="14895" width="0" style="3" hidden="1" customWidth="1"/>
    <col min="14896" max="14896" width="14.28515625" style="3" customWidth="1"/>
    <col min="14897" max="15104" width="9.140625" style="3"/>
    <col min="15105" max="15105" width="4" style="3" bestFit="1" customWidth="1"/>
    <col min="15106" max="15106" width="21.140625" style="3" customWidth="1"/>
    <col min="15107" max="15108" width="6.28515625" style="3" customWidth="1"/>
    <col min="15109" max="15110" width="0" style="3" hidden="1" customWidth="1"/>
    <col min="15111" max="15111" width="20.42578125" style="3" customWidth="1"/>
    <col min="15112" max="15113" width="0" style="3" hidden="1" customWidth="1"/>
    <col min="15114" max="15114" width="16.140625" style="3" customWidth="1"/>
    <col min="15115" max="15116" width="0" style="3" hidden="1" customWidth="1"/>
    <col min="15117" max="15117" width="19.140625" style="3" customWidth="1"/>
    <col min="15118" max="15119" width="0" style="3" hidden="1" customWidth="1"/>
    <col min="15120" max="15120" width="20.85546875" style="3" customWidth="1"/>
    <col min="15121" max="15122" width="0" style="3" hidden="1" customWidth="1"/>
    <col min="15123" max="15123" width="23" style="3" customWidth="1"/>
    <col min="15124" max="15129" width="0" style="3" hidden="1" customWidth="1"/>
    <col min="15130" max="15130" width="18.85546875" style="3" customWidth="1"/>
    <col min="15131" max="15131" width="0" style="3" hidden="1" customWidth="1"/>
    <col min="15132" max="15132" width="14.140625" style="3" customWidth="1"/>
    <col min="15133" max="15134" width="0" style="3" hidden="1" customWidth="1"/>
    <col min="15135" max="15135" width="17.28515625" style="3" customWidth="1"/>
    <col min="15136" max="15137" width="0" style="3" hidden="1" customWidth="1"/>
    <col min="15138" max="15138" width="18.140625" style="3" customWidth="1"/>
    <col min="15139" max="15140" width="0" style="3" hidden="1" customWidth="1"/>
    <col min="15141" max="15141" width="17" style="3" customWidth="1"/>
    <col min="15142" max="15143" width="0" style="3" hidden="1" customWidth="1"/>
    <col min="15144" max="15144" width="15.5703125" style="3" customWidth="1"/>
    <col min="15145" max="15146" width="0" style="3" hidden="1" customWidth="1"/>
    <col min="15147" max="15147" width="16.28515625" style="3" customWidth="1"/>
    <col min="15148" max="15148" width="0" style="3" hidden="1" customWidth="1"/>
    <col min="15149" max="15149" width="14.42578125" style="3" customWidth="1"/>
    <col min="15150" max="15151" width="0" style="3" hidden="1" customWidth="1"/>
    <col min="15152" max="15152" width="14.28515625" style="3" customWidth="1"/>
    <col min="15153" max="15360" width="9.140625" style="3"/>
    <col min="15361" max="15361" width="4" style="3" bestFit="1" customWidth="1"/>
    <col min="15362" max="15362" width="21.140625" style="3" customWidth="1"/>
    <col min="15363" max="15364" width="6.28515625" style="3" customWidth="1"/>
    <col min="15365" max="15366" width="0" style="3" hidden="1" customWidth="1"/>
    <col min="15367" max="15367" width="20.42578125" style="3" customWidth="1"/>
    <col min="15368" max="15369" width="0" style="3" hidden="1" customWidth="1"/>
    <col min="15370" max="15370" width="16.140625" style="3" customWidth="1"/>
    <col min="15371" max="15372" width="0" style="3" hidden="1" customWidth="1"/>
    <col min="15373" max="15373" width="19.140625" style="3" customWidth="1"/>
    <col min="15374" max="15375" width="0" style="3" hidden="1" customWidth="1"/>
    <col min="15376" max="15376" width="20.85546875" style="3" customWidth="1"/>
    <col min="15377" max="15378" width="0" style="3" hidden="1" customWidth="1"/>
    <col min="15379" max="15379" width="23" style="3" customWidth="1"/>
    <col min="15380" max="15385" width="0" style="3" hidden="1" customWidth="1"/>
    <col min="15386" max="15386" width="18.85546875" style="3" customWidth="1"/>
    <col min="15387" max="15387" width="0" style="3" hidden="1" customWidth="1"/>
    <col min="15388" max="15388" width="14.140625" style="3" customWidth="1"/>
    <col min="15389" max="15390" width="0" style="3" hidden="1" customWidth="1"/>
    <col min="15391" max="15391" width="17.28515625" style="3" customWidth="1"/>
    <col min="15392" max="15393" width="0" style="3" hidden="1" customWidth="1"/>
    <col min="15394" max="15394" width="18.140625" style="3" customWidth="1"/>
    <col min="15395" max="15396" width="0" style="3" hidden="1" customWidth="1"/>
    <col min="15397" max="15397" width="17" style="3" customWidth="1"/>
    <col min="15398" max="15399" width="0" style="3" hidden="1" customWidth="1"/>
    <col min="15400" max="15400" width="15.5703125" style="3" customWidth="1"/>
    <col min="15401" max="15402" width="0" style="3" hidden="1" customWidth="1"/>
    <col min="15403" max="15403" width="16.28515625" style="3" customWidth="1"/>
    <col min="15404" max="15404" width="0" style="3" hidden="1" customWidth="1"/>
    <col min="15405" max="15405" width="14.42578125" style="3" customWidth="1"/>
    <col min="15406" max="15407" width="0" style="3" hidden="1" customWidth="1"/>
    <col min="15408" max="15408" width="14.28515625" style="3" customWidth="1"/>
    <col min="15409" max="15616" width="9.140625" style="3"/>
    <col min="15617" max="15617" width="4" style="3" bestFit="1" customWidth="1"/>
    <col min="15618" max="15618" width="21.140625" style="3" customWidth="1"/>
    <col min="15619" max="15620" width="6.28515625" style="3" customWidth="1"/>
    <col min="15621" max="15622" width="0" style="3" hidden="1" customWidth="1"/>
    <col min="15623" max="15623" width="20.42578125" style="3" customWidth="1"/>
    <col min="15624" max="15625" width="0" style="3" hidden="1" customWidth="1"/>
    <col min="15626" max="15626" width="16.140625" style="3" customWidth="1"/>
    <col min="15627" max="15628" width="0" style="3" hidden="1" customWidth="1"/>
    <col min="15629" max="15629" width="19.140625" style="3" customWidth="1"/>
    <col min="15630" max="15631" width="0" style="3" hidden="1" customWidth="1"/>
    <col min="15632" max="15632" width="20.85546875" style="3" customWidth="1"/>
    <col min="15633" max="15634" width="0" style="3" hidden="1" customWidth="1"/>
    <col min="15635" max="15635" width="23" style="3" customWidth="1"/>
    <col min="15636" max="15641" width="0" style="3" hidden="1" customWidth="1"/>
    <col min="15642" max="15642" width="18.85546875" style="3" customWidth="1"/>
    <col min="15643" max="15643" width="0" style="3" hidden="1" customWidth="1"/>
    <col min="15644" max="15644" width="14.140625" style="3" customWidth="1"/>
    <col min="15645" max="15646" width="0" style="3" hidden="1" customWidth="1"/>
    <col min="15647" max="15647" width="17.28515625" style="3" customWidth="1"/>
    <col min="15648" max="15649" width="0" style="3" hidden="1" customWidth="1"/>
    <col min="15650" max="15650" width="18.140625" style="3" customWidth="1"/>
    <col min="15651" max="15652" width="0" style="3" hidden="1" customWidth="1"/>
    <col min="15653" max="15653" width="17" style="3" customWidth="1"/>
    <col min="15654" max="15655" width="0" style="3" hidden="1" customWidth="1"/>
    <col min="15656" max="15656" width="15.5703125" style="3" customWidth="1"/>
    <col min="15657" max="15658" width="0" style="3" hidden="1" customWidth="1"/>
    <col min="15659" max="15659" width="16.28515625" style="3" customWidth="1"/>
    <col min="15660" max="15660" width="0" style="3" hidden="1" customWidth="1"/>
    <col min="15661" max="15661" width="14.42578125" style="3" customWidth="1"/>
    <col min="15662" max="15663" width="0" style="3" hidden="1" customWidth="1"/>
    <col min="15664" max="15664" width="14.28515625" style="3" customWidth="1"/>
    <col min="15665" max="15872" width="9.140625" style="3"/>
    <col min="15873" max="15873" width="4" style="3" bestFit="1" customWidth="1"/>
    <col min="15874" max="15874" width="21.140625" style="3" customWidth="1"/>
    <col min="15875" max="15876" width="6.28515625" style="3" customWidth="1"/>
    <col min="15877" max="15878" width="0" style="3" hidden="1" customWidth="1"/>
    <col min="15879" max="15879" width="20.42578125" style="3" customWidth="1"/>
    <col min="15880" max="15881" width="0" style="3" hidden="1" customWidth="1"/>
    <col min="15882" max="15882" width="16.140625" style="3" customWidth="1"/>
    <col min="15883" max="15884" width="0" style="3" hidden="1" customWidth="1"/>
    <col min="15885" max="15885" width="19.140625" style="3" customWidth="1"/>
    <col min="15886" max="15887" width="0" style="3" hidden="1" customWidth="1"/>
    <col min="15888" max="15888" width="20.85546875" style="3" customWidth="1"/>
    <col min="15889" max="15890" width="0" style="3" hidden="1" customWidth="1"/>
    <col min="15891" max="15891" width="23" style="3" customWidth="1"/>
    <col min="15892" max="15897" width="0" style="3" hidden="1" customWidth="1"/>
    <col min="15898" max="15898" width="18.85546875" style="3" customWidth="1"/>
    <col min="15899" max="15899" width="0" style="3" hidden="1" customWidth="1"/>
    <col min="15900" max="15900" width="14.140625" style="3" customWidth="1"/>
    <col min="15901" max="15902" width="0" style="3" hidden="1" customWidth="1"/>
    <col min="15903" max="15903" width="17.28515625" style="3" customWidth="1"/>
    <col min="15904" max="15905" width="0" style="3" hidden="1" customWidth="1"/>
    <col min="15906" max="15906" width="18.140625" style="3" customWidth="1"/>
    <col min="15907" max="15908" width="0" style="3" hidden="1" customWidth="1"/>
    <col min="15909" max="15909" width="17" style="3" customWidth="1"/>
    <col min="15910" max="15911" width="0" style="3" hidden="1" customWidth="1"/>
    <col min="15912" max="15912" width="15.5703125" style="3" customWidth="1"/>
    <col min="15913" max="15914" width="0" style="3" hidden="1" customWidth="1"/>
    <col min="15915" max="15915" width="16.28515625" style="3" customWidth="1"/>
    <col min="15916" max="15916" width="0" style="3" hidden="1" customWidth="1"/>
    <col min="15917" max="15917" width="14.42578125" style="3" customWidth="1"/>
    <col min="15918" max="15919" width="0" style="3" hidden="1" customWidth="1"/>
    <col min="15920" max="15920" width="14.28515625" style="3" customWidth="1"/>
    <col min="15921" max="16128" width="9.140625" style="3"/>
    <col min="16129" max="16129" width="4" style="3" bestFit="1" customWidth="1"/>
    <col min="16130" max="16130" width="21.140625" style="3" customWidth="1"/>
    <col min="16131" max="16132" width="6.28515625" style="3" customWidth="1"/>
    <col min="16133" max="16134" width="0" style="3" hidden="1" customWidth="1"/>
    <col min="16135" max="16135" width="20.42578125" style="3" customWidth="1"/>
    <col min="16136" max="16137" width="0" style="3" hidden="1" customWidth="1"/>
    <col min="16138" max="16138" width="16.140625" style="3" customWidth="1"/>
    <col min="16139" max="16140" width="0" style="3" hidden="1" customWidth="1"/>
    <col min="16141" max="16141" width="19.140625" style="3" customWidth="1"/>
    <col min="16142" max="16143" width="0" style="3" hidden="1" customWidth="1"/>
    <col min="16144" max="16144" width="20.85546875" style="3" customWidth="1"/>
    <col min="16145" max="16146" width="0" style="3" hidden="1" customWidth="1"/>
    <col min="16147" max="16147" width="23" style="3" customWidth="1"/>
    <col min="16148" max="16153" width="0" style="3" hidden="1" customWidth="1"/>
    <col min="16154" max="16154" width="18.85546875" style="3" customWidth="1"/>
    <col min="16155" max="16155" width="0" style="3" hidden="1" customWidth="1"/>
    <col min="16156" max="16156" width="14.140625" style="3" customWidth="1"/>
    <col min="16157" max="16158" width="0" style="3" hidden="1" customWidth="1"/>
    <col min="16159" max="16159" width="17.28515625" style="3" customWidth="1"/>
    <col min="16160" max="16161" width="0" style="3" hidden="1" customWidth="1"/>
    <col min="16162" max="16162" width="18.140625" style="3" customWidth="1"/>
    <col min="16163" max="16164" width="0" style="3" hidden="1" customWidth="1"/>
    <col min="16165" max="16165" width="17" style="3" customWidth="1"/>
    <col min="16166" max="16167" width="0" style="3" hidden="1" customWidth="1"/>
    <col min="16168" max="16168" width="15.5703125" style="3" customWidth="1"/>
    <col min="16169" max="16170" width="0" style="3" hidden="1" customWidth="1"/>
    <col min="16171" max="16171" width="16.28515625" style="3" customWidth="1"/>
    <col min="16172" max="16172" width="0" style="3" hidden="1" customWidth="1"/>
    <col min="16173" max="16173" width="14.42578125" style="3" customWidth="1"/>
    <col min="16174" max="16175" width="0" style="3" hidden="1" customWidth="1"/>
    <col min="16176" max="16176" width="14.28515625" style="3" customWidth="1"/>
    <col min="16177" max="16384" width="9.140625" style="3"/>
  </cols>
  <sheetData>
    <row r="1" spans="1:48" ht="74.25" customHeight="1">
      <c r="AK1" s="46" t="s">
        <v>64</v>
      </c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</row>
    <row r="2" spans="1:48" ht="18" customHeight="1">
      <c r="B2" s="29"/>
      <c r="C2" s="53" t="s">
        <v>65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</row>
    <row r="3" spans="1:48" ht="38.25" customHeight="1">
      <c r="A3" s="30"/>
      <c r="B3" s="30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</row>
    <row r="4" spans="1:48">
      <c r="A4" s="31"/>
      <c r="B4" s="31"/>
      <c r="C4" s="31"/>
      <c r="D4" s="31"/>
      <c r="E4" s="31"/>
      <c r="F4" s="31"/>
      <c r="G4" s="31"/>
      <c r="H4" s="31"/>
      <c r="I4" s="31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48" ht="123" customHeight="1">
      <c r="A5" s="1"/>
      <c r="B5" s="1"/>
      <c r="C5" s="1"/>
      <c r="D5" s="1"/>
      <c r="E5" s="54" t="s">
        <v>0</v>
      </c>
      <c r="F5" s="54"/>
      <c r="G5" s="54"/>
      <c r="H5" s="54" t="s">
        <v>1</v>
      </c>
      <c r="I5" s="54"/>
      <c r="J5" s="54"/>
      <c r="K5" s="54" t="s">
        <v>2</v>
      </c>
      <c r="L5" s="54"/>
      <c r="M5" s="54"/>
      <c r="N5" s="48" t="s">
        <v>3</v>
      </c>
      <c r="O5" s="48"/>
      <c r="P5" s="48"/>
      <c r="Q5" s="48" t="s">
        <v>4</v>
      </c>
      <c r="R5" s="48"/>
      <c r="S5" s="48"/>
      <c r="T5" s="1" t="s">
        <v>5</v>
      </c>
      <c r="U5" s="1" t="s">
        <v>5</v>
      </c>
      <c r="X5" s="48" t="s">
        <v>6</v>
      </c>
      <c r="Y5" s="48"/>
      <c r="Z5" s="48"/>
      <c r="AA5" s="48" t="s">
        <v>7</v>
      </c>
      <c r="AB5" s="48"/>
      <c r="AC5" s="48" t="s">
        <v>8</v>
      </c>
      <c r="AD5" s="48"/>
      <c r="AE5" s="48"/>
      <c r="AF5" s="48" t="s">
        <v>9</v>
      </c>
      <c r="AG5" s="48"/>
      <c r="AH5" s="48"/>
      <c r="AI5" s="48" t="s">
        <v>10</v>
      </c>
      <c r="AJ5" s="48"/>
      <c r="AK5" s="48"/>
      <c r="AL5" s="48" t="s">
        <v>11</v>
      </c>
      <c r="AM5" s="48"/>
      <c r="AN5" s="48"/>
      <c r="AO5" s="49" t="s">
        <v>12</v>
      </c>
      <c r="AP5" s="49"/>
      <c r="AQ5" s="49"/>
      <c r="AR5" s="33" t="s">
        <v>13</v>
      </c>
      <c r="AS5" s="33" t="s">
        <v>13</v>
      </c>
      <c r="AT5" s="1" t="s">
        <v>5</v>
      </c>
      <c r="AU5" s="1" t="s">
        <v>5</v>
      </c>
      <c r="AV5" s="33" t="s">
        <v>14</v>
      </c>
    </row>
    <row r="6" spans="1:48" ht="51" customHeight="1">
      <c r="A6" s="1"/>
      <c r="B6" s="1" t="s">
        <v>15</v>
      </c>
      <c r="C6" s="1" t="s">
        <v>16</v>
      </c>
      <c r="D6" s="1" t="s">
        <v>17</v>
      </c>
      <c r="E6" s="1" t="s">
        <v>18</v>
      </c>
      <c r="F6" s="1" t="s">
        <v>18</v>
      </c>
      <c r="G6" s="1" t="s">
        <v>19</v>
      </c>
      <c r="H6" s="1" t="s">
        <v>18</v>
      </c>
      <c r="I6" s="1" t="s">
        <v>18</v>
      </c>
      <c r="J6" s="1" t="s">
        <v>20</v>
      </c>
      <c r="K6" s="2"/>
      <c r="L6" s="2"/>
      <c r="M6" s="2"/>
      <c r="N6" s="2"/>
      <c r="O6" s="2"/>
      <c r="P6" s="2"/>
      <c r="Q6" s="2"/>
      <c r="R6" s="2"/>
      <c r="S6" s="2"/>
      <c r="T6" s="1" t="s">
        <v>21</v>
      </c>
      <c r="U6" s="1" t="s">
        <v>22</v>
      </c>
      <c r="X6" s="1" t="s">
        <v>18</v>
      </c>
      <c r="Y6" s="1" t="s">
        <v>18</v>
      </c>
      <c r="Z6" s="1" t="s">
        <v>19</v>
      </c>
      <c r="AA6" s="1" t="s">
        <v>18</v>
      </c>
      <c r="AB6" s="1" t="s">
        <v>19</v>
      </c>
      <c r="AC6" s="1" t="s">
        <v>18</v>
      </c>
      <c r="AD6" s="1" t="s">
        <v>18</v>
      </c>
      <c r="AE6" s="1" t="s">
        <v>19</v>
      </c>
      <c r="AF6" s="1" t="s">
        <v>18</v>
      </c>
      <c r="AG6" s="1" t="s">
        <v>18</v>
      </c>
      <c r="AH6" s="1" t="s">
        <v>19</v>
      </c>
      <c r="AI6" s="1" t="s">
        <v>18</v>
      </c>
      <c r="AJ6" s="1" t="s">
        <v>23</v>
      </c>
      <c r="AK6" s="1" t="s">
        <v>19</v>
      </c>
      <c r="AL6" s="1" t="s">
        <v>23</v>
      </c>
      <c r="AM6" s="1" t="s">
        <v>23</v>
      </c>
      <c r="AN6" s="1" t="s">
        <v>24</v>
      </c>
      <c r="AO6" s="2" t="s">
        <v>23</v>
      </c>
      <c r="AP6" s="2" t="s">
        <v>23</v>
      </c>
      <c r="AQ6" s="2" t="s">
        <v>24</v>
      </c>
      <c r="AR6" s="1" t="s">
        <v>23</v>
      </c>
      <c r="AS6" s="4"/>
      <c r="AT6" s="1" t="s">
        <v>21</v>
      </c>
      <c r="AU6" s="1" t="s">
        <v>25</v>
      </c>
      <c r="AV6" s="44" t="s">
        <v>63</v>
      </c>
    </row>
    <row r="7" spans="1:48">
      <c r="A7" s="1">
        <v>1</v>
      </c>
      <c r="B7" s="34" t="s">
        <v>26</v>
      </c>
      <c r="C7" s="35" t="s">
        <v>27</v>
      </c>
      <c r="D7" s="36">
        <v>2</v>
      </c>
      <c r="E7" s="37">
        <f>223952.02*1.18</f>
        <v>264263.3836</v>
      </c>
      <c r="F7" s="6">
        <f>E7/1000</f>
        <v>264.2633836</v>
      </c>
      <c r="G7" s="5">
        <v>455</v>
      </c>
      <c r="H7" s="5"/>
      <c r="I7" s="5"/>
      <c r="J7" s="5"/>
      <c r="K7" s="6">
        <f>495227.61*1.18</f>
        <v>584368.57979999995</v>
      </c>
      <c r="L7" s="7">
        <f t="shared" ref="L7:L32" si="0">K7/1000</f>
        <v>584.36857979999991</v>
      </c>
      <c r="M7" s="8">
        <v>324</v>
      </c>
      <c r="N7" s="9"/>
      <c r="O7" s="9"/>
      <c r="P7" s="9"/>
      <c r="Q7" s="10"/>
      <c r="R7" s="10"/>
      <c r="S7" s="5"/>
      <c r="T7" s="11">
        <f t="shared" ref="T7:T38" si="1">K7+N7+Q7</f>
        <v>584368.57979999995</v>
      </c>
      <c r="U7" s="11">
        <f t="shared" ref="U7:U38" si="2">T7/1000</f>
        <v>584.36857979999991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6"/>
      <c r="AP7" s="6"/>
      <c r="AQ7" s="8"/>
      <c r="AR7" s="8"/>
      <c r="AS7" s="6"/>
      <c r="AT7" s="11">
        <f>E7+H7+X7+AC7+AF7+AI7+AL7+AO7+AR7+AA7</f>
        <v>264263.3836</v>
      </c>
      <c r="AU7" s="11">
        <f>AT7/1000</f>
        <v>264.2633836</v>
      </c>
      <c r="AV7" s="12">
        <f t="shared" ref="AV7:AV38" si="3">L7+O7+R7+F7+I7+Y7+AB7+AD7+AG7+AJ7+AM7+AP7+AS7</f>
        <v>848.6319633999999</v>
      </c>
    </row>
    <row r="8" spans="1:48">
      <c r="A8" s="1">
        <v>2</v>
      </c>
      <c r="B8" s="34" t="s">
        <v>26</v>
      </c>
      <c r="C8" s="38">
        <v>7</v>
      </c>
      <c r="D8" s="38"/>
      <c r="E8" s="4"/>
      <c r="F8" s="4"/>
      <c r="G8" s="4"/>
      <c r="H8" s="4"/>
      <c r="I8" s="4"/>
      <c r="J8" s="4"/>
      <c r="K8" s="6">
        <f>34711.14*1.18</f>
        <v>40959.145199999999</v>
      </c>
      <c r="L8" s="7">
        <f t="shared" si="0"/>
        <v>40.959145200000002</v>
      </c>
      <c r="M8" s="13">
        <v>18</v>
      </c>
      <c r="N8" s="9"/>
      <c r="O8" s="9"/>
      <c r="P8" s="9"/>
      <c r="Q8" s="14"/>
      <c r="R8" s="10"/>
      <c r="S8" s="5"/>
      <c r="T8" s="11">
        <f t="shared" si="1"/>
        <v>40959.145199999999</v>
      </c>
      <c r="U8" s="11">
        <f t="shared" si="2"/>
        <v>40.959145200000002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12">
        <f t="shared" si="3"/>
        <v>40.959145200000002</v>
      </c>
    </row>
    <row r="9" spans="1:48">
      <c r="A9" s="1">
        <v>3</v>
      </c>
      <c r="B9" s="39" t="s">
        <v>28</v>
      </c>
      <c r="C9" s="38">
        <v>11</v>
      </c>
      <c r="D9" s="38">
        <v>1</v>
      </c>
      <c r="E9" s="4"/>
      <c r="F9" s="4"/>
      <c r="G9" s="4"/>
      <c r="H9" s="4"/>
      <c r="I9" s="4"/>
      <c r="J9" s="4"/>
      <c r="K9" s="6">
        <f>62740.84*1.18</f>
        <v>74034.191199999987</v>
      </c>
      <c r="L9" s="7">
        <f t="shared" si="0"/>
        <v>74.034191199999981</v>
      </c>
      <c r="M9" s="13">
        <v>36</v>
      </c>
      <c r="N9" s="9"/>
      <c r="O9" s="9"/>
      <c r="P9" s="9"/>
      <c r="Q9" s="14"/>
      <c r="R9" s="10"/>
      <c r="S9" s="5"/>
      <c r="T9" s="11">
        <f t="shared" si="1"/>
        <v>74034.191199999987</v>
      </c>
      <c r="U9" s="11">
        <f t="shared" si="2"/>
        <v>74.034191199999981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12">
        <f t="shared" si="3"/>
        <v>74.034191199999981</v>
      </c>
    </row>
    <row r="10" spans="1:48">
      <c r="A10" s="1">
        <v>4</v>
      </c>
      <c r="B10" s="39" t="s">
        <v>28</v>
      </c>
      <c r="C10" s="38">
        <v>22</v>
      </c>
      <c r="D10" s="38">
        <v>2</v>
      </c>
      <c r="E10" s="4"/>
      <c r="F10" s="4"/>
      <c r="G10" s="4"/>
      <c r="H10" s="4"/>
      <c r="I10" s="4"/>
      <c r="J10" s="4"/>
      <c r="K10" s="6">
        <f>71021.01*1.18</f>
        <v>83804.791799999992</v>
      </c>
      <c r="L10" s="7">
        <f t="shared" si="0"/>
        <v>83.80479179999999</v>
      </c>
      <c r="M10" s="13">
        <v>36</v>
      </c>
      <c r="N10" s="9"/>
      <c r="O10" s="9"/>
      <c r="P10" s="9"/>
      <c r="Q10" s="14"/>
      <c r="R10" s="10"/>
      <c r="S10" s="5"/>
      <c r="T10" s="11">
        <f t="shared" si="1"/>
        <v>83804.791799999992</v>
      </c>
      <c r="U10" s="11">
        <f t="shared" si="2"/>
        <v>83.80479179999999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12">
        <f t="shared" si="3"/>
        <v>83.80479179999999</v>
      </c>
    </row>
    <row r="11" spans="1:48">
      <c r="A11" s="1">
        <v>5</v>
      </c>
      <c r="B11" s="39" t="s">
        <v>28</v>
      </c>
      <c r="C11" s="38">
        <v>16</v>
      </c>
      <c r="D11" s="38">
        <v>2</v>
      </c>
      <c r="E11" s="4"/>
      <c r="F11" s="4"/>
      <c r="G11" s="4"/>
      <c r="H11" s="4"/>
      <c r="I11" s="4"/>
      <c r="J11" s="4"/>
      <c r="K11" s="6">
        <f>62995.08*1.18</f>
        <v>74334.194399999993</v>
      </c>
      <c r="L11" s="7">
        <f t="shared" si="0"/>
        <v>74.334194399999987</v>
      </c>
      <c r="M11" s="13">
        <v>36</v>
      </c>
      <c r="N11" s="9"/>
      <c r="O11" s="9"/>
      <c r="P11" s="9"/>
      <c r="Q11" s="14"/>
      <c r="R11" s="10"/>
      <c r="S11" s="5"/>
      <c r="T11" s="11">
        <f t="shared" si="1"/>
        <v>74334.194399999993</v>
      </c>
      <c r="U11" s="11">
        <f t="shared" si="2"/>
        <v>74.334194399999987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12">
        <f t="shared" si="3"/>
        <v>74.334194399999987</v>
      </c>
    </row>
    <row r="12" spans="1:48">
      <c r="A12" s="1">
        <v>6</v>
      </c>
      <c r="B12" s="39" t="s">
        <v>28</v>
      </c>
      <c r="C12" s="38">
        <v>3</v>
      </c>
      <c r="D12" s="38">
        <v>1</v>
      </c>
      <c r="E12" s="4"/>
      <c r="F12" s="15"/>
      <c r="G12" s="15"/>
      <c r="H12" s="15"/>
      <c r="I12" s="15"/>
      <c r="J12" s="15"/>
      <c r="K12" s="6">
        <f>58163.25*1.18</f>
        <v>68632.634999999995</v>
      </c>
      <c r="L12" s="7">
        <f t="shared" si="0"/>
        <v>68.632634999999993</v>
      </c>
      <c r="M12" s="13">
        <v>36</v>
      </c>
      <c r="N12" s="9"/>
      <c r="O12" s="9"/>
      <c r="P12" s="9"/>
      <c r="Q12" s="14"/>
      <c r="R12" s="10"/>
      <c r="S12" s="5"/>
      <c r="T12" s="11">
        <f t="shared" si="1"/>
        <v>68632.634999999995</v>
      </c>
      <c r="U12" s="11">
        <f t="shared" si="2"/>
        <v>68.632634999999993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4"/>
      <c r="AS12" s="4"/>
      <c r="AT12" s="4"/>
      <c r="AU12" s="4"/>
      <c r="AV12" s="12">
        <f t="shared" si="3"/>
        <v>68.632634999999993</v>
      </c>
    </row>
    <row r="13" spans="1:48">
      <c r="A13" s="1">
        <v>7</v>
      </c>
      <c r="B13" s="39" t="s">
        <v>29</v>
      </c>
      <c r="C13" s="35" t="s">
        <v>30</v>
      </c>
      <c r="D13" s="36"/>
      <c r="E13" s="4"/>
      <c r="F13" s="15"/>
      <c r="G13" s="15"/>
      <c r="H13" s="15"/>
      <c r="I13" s="15"/>
      <c r="J13" s="15"/>
      <c r="K13" s="6">
        <f>80149.48*1.18</f>
        <v>94576.386399999988</v>
      </c>
      <c r="L13" s="7">
        <f t="shared" si="0"/>
        <v>94.57638639999999</v>
      </c>
      <c r="M13" s="8">
        <v>36</v>
      </c>
      <c r="N13" s="9"/>
      <c r="O13" s="9"/>
      <c r="P13" s="9"/>
      <c r="Q13" s="10"/>
      <c r="R13" s="10"/>
      <c r="S13" s="5"/>
      <c r="T13" s="11">
        <f t="shared" si="1"/>
        <v>94576.386399999988</v>
      </c>
      <c r="U13" s="11">
        <f t="shared" si="2"/>
        <v>94.57638639999999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4"/>
      <c r="AS13" s="4"/>
      <c r="AT13" s="4"/>
      <c r="AU13" s="4"/>
      <c r="AV13" s="12">
        <f t="shared" si="3"/>
        <v>94.57638639999999</v>
      </c>
    </row>
    <row r="14" spans="1:48">
      <c r="A14" s="1">
        <v>8</v>
      </c>
      <c r="B14" s="39" t="s">
        <v>28</v>
      </c>
      <c r="C14" s="38">
        <v>29</v>
      </c>
      <c r="D14" s="38"/>
      <c r="E14" s="4"/>
      <c r="F14" s="15"/>
      <c r="G14" s="15"/>
      <c r="H14" s="15"/>
      <c r="I14" s="15"/>
      <c r="J14" s="15"/>
      <c r="K14" s="6">
        <f>86688.18*1.18</f>
        <v>102292.05239999999</v>
      </c>
      <c r="L14" s="7">
        <f t="shared" si="0"/>
        <v>102.29205239999999</v>
      </c>
      <c r="M14" s="13">
        <v>54</v>
      </c>
      <c r="N14" s="9"/>
      <c r="O14" s="9"/>
      <c r="P14" s="9"/>
      <c r="Q14" s="14"/>
      <c r="R14" s="10"/>
      <c r="S14" s="5"/>
      <c r="T14" s="11">
        <f t="shared" si="1"/>
        <v>102292.05239999999</v>
      </c>
      <c r="U14" s="11">
        <f t="shared" si="2"/>
        <v>102.29205239999999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4"/>
      <c r="AS14" s="4"/>
      <c r="AT14" s="4"/>
      <c r="AU14" s="4"/>
      <c r="AV14" s="12">
        <f t="shared" si="3"/>
        <v>102.29205239999999</v>
      </c>
    </row>
    <row r="15" spans="1:48">
      <c r="A15" s="1">
        <v>9</v>
      </c>
      <c r="B15" s="39" t="s">
        <v>31</v>
      </c>
      <c r="C15" s="38">
        <v>41</v>
      </c>
      <c r="D15" s="38">
        <v>1</v>
      </c>
      <c r="E15" s="4"/>
      <c r="F15" s="15"/>
      <c r="G15" s="15"/>
      <c r="H15" s="15"/>
      <c r="I15" s="15"/>
      <c r="J15" s="15"/>
      <c r="K15" s="6">
        <f>169976.51*1.18</f>
        <v>200572.2818</v>
      </c>
      <c r="L15" s="7">
        <f t="shared" si="0"/>
        <v>200.57228179999998</v>
      </c>
      <c r="M15" s="13">
        <v>88</v>
      </c>
      <c r="N15" s="9"/>
      <c r="O15" s="9"/>
      <c r="P15" s="9"/>
      <c r="Q15" s="14"/>
      <c r="R15" s="10"/>
      <c r="S15" s="5"/>
      <c r="T15" s="11">
        <f t="shared" si="1"/>
        <v>200572.2818</v>
      </c>
      <c r="U15" s="11">
        <f t="shared" si="2"/>
        <v>200.57228179999998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4"/>
      <c r="AS15" s="4"/>
      <c r="AT15" s="4"/>
      <c r="AU15" s="4"/>
      <c r="AV15" s="12">
        <f t="shared" si="3"/>
        <v>200.57228179999998</v>
      </c>
    </row>
    <row r="16" spans="1:48">
      <c r="A16" s="1">
        <v>10</v>
      </c>
      <c r="B16" s="34" t="s">
        <v>32</v>
      </c>
      <c r="C16" s="40">
        <v>21</v>
      </c>
      <c r="D16" s="40"/>
      <c r="E16" s="4"/>
      <c r="F16" s="15"/>
      <c r="G16" s="15"/>
      <c r="H16" s="15"/>
      <c r="I16" s="15"/>
      <c r="J16" s="15"/>
      <c r="K16" s="7">
        <f>140659.28*1.18</f>
        <v>165977.9504</v>
      </c>
      <c r="L16" s="7">
        <f t="shared" si="0"/>
        <v>165.9779504</v>
      </c>
      <c r="M16" s="5">
        <v>90</v>
      </c>
      <c r="N16" s="2"/>
      <c r="O16" s="2"/>
      <c r="P16" s="2"/>
      <c r="Q16" s="16"/>
      <c r="R16" s="10"/>
      <c r="S16" s="2"/>
      <c r="T16" s="11">
        <f t="shared" si="1"/>
        <v>165977.9504</v>
      </c>
      <c r="U16" s="11">
        <f t="shared" si="2"/>
        <v>165.9779504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4"/>
      <c r="AS16" s="4"/>
      <c r="AT16" s="4"/>
      <c r="AU16" s="4"/>
      <c r="AV16" s="12">
        <f t="shared" si="3"/>
        <v>165.9779504</v>
      </c>
    </row>
    <row r="17" spans="1:48">
      <c r="A17" s="1">
        <v>11</v>
      </c>
      <c r="B17" s="39" t="s">
        <v>28</v>
      </c>
      <c r="C17" s="38">
        <v>16</v>
      </c>
      <c r="D17" s="38">
        <v>5</v>
      </c>
      <c r="E17" s="4"/>
      <c r="F17" s="15"/>
      <c r="G17" s="15"/>
      <c r="H17" s="15"/>
      <c r="I17" s="15"/>
      <c r="J17" s="15"/>
      <c r="K17" s="6">
        <f>136491.99*1.18</f>
        <v>161060.54819999999</v>
      </c>
      <c r="L17" s="7">
        <f t="shared" si="0"/>
        <v>161.0605482</v>
      </c>
      <c r="M17" s="13">
        <v>108</v>
      </c>
      <c r="N17" s="9"/>
      <c r="O17" s="9"/>
      <c r="P17" s="9"/>
      <c r="Q17" s="14"/>
      <c r="R17" s="10"/>
      <c r="S17" s="5"/>
      <c r="T17" s="11">
        <f t="shared" si="1"/>
        <v>161060.54819999999</v>
      </c>
      <c r="U17" s="11">
        <f t="shared" si="2"/>
        <v>161.0605482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4"/>
      <c r="AS17" s="4"/>
      <c r="AT17" s="4"/>
      <c r="AU17" s="4"/>
      <c r="AV17" s="12">
        <f t="shared" si="3"/>
        <v>161.0605482</v>
      </c>
    </row>
    <row r="18" spans="1:48">
      <c r="A18" s="1">
        <v>12</v>
      </c>
      <c r="B18" s="34" t="s">
        <v>33</v>
      </c>
      <c r="C18" s="35" t="s">
        <v>34</v>
      </c>
      <c r="D18" s="36">
        <v>2</v>
      </c>
      <c r="E18" s="4"/>
      <c r="F18" s="4"/>
      <c r="G18" s="4"/>
      <c r="H18" s="4"/>
      <c r="I18" s="4"/>
      <c r="J18" s="4"/>
      <c r="K18" s="6">
        <f>168348.62*1.18</f>
        <v>198651.37159999998</v>
      </c>
      <c r="L18" s="7">
        <f t="shared" si="0"/>
        <v>198.65137159999998</v>
      </c>
      <c r="M18" s="8">
        <v>108</v>
      </c>
      <c r="N18" s="9"/>
      <c r="O18" s="9"/>
      <c r="P18" s="9"/>
      <c r="Q18" s="10"/>
      <c r="R18" s="10"/>
      <c r="S18" s="5"/>
      <c r="T18" s="11">
        <f t="shared" si="1"/>
        <v>198651.37159999998</v>
      </c>
      <c r="U18" s="11">
        <f t="shared" si="2"/>
        <v>198.65137159999998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12">
        <f t="shared" si="3"/>
        <v>198.65137159999998</v>
      </c>
    </row>
    <row r="19" spans="1:48">
      <c r="A19" s="1">
        <v>13</v>
      </c>
      <c r="B19" s="34" t="s">
        <v>32</v>
      </c>
      <c r="C19" s="40">
        <v>17</v>
      </c>
      <c r="D19" s="40">
        <v>2</v>
      </c>
      <c r="E19" s="4"/>
      <c r="F19" s="4"/>
      <c r="G19" s="4"/>
      <c r="H19" s="4"/>
      <c r="I19" s="4"/>
      <c r="J19" s="4"/>
      <c r="K19" s="7">
        <f>194327.14*1.18</f>
        <v>229306.0252</v>
      </c>
      <c r="L19" s="7">
        <f t="shared" si="0"/>
        <v>229.30602519999999</v>
      </c>
      <c r="M19" s="5">
        <v>126</v>
      </c>
      <c r="N19" s="9"/>
      <c r="O19" s="9"/>
      <c r="P19" s="9"/>
      <c r="Q19" s="16"/>
      <c r="R19" s="10"/>
      <c r="S19" s="2"/>
      <c r="T19" s="11">
        <f t="shared" si="1"/>
        <v>229306.0252</v>
      </c>
      <c r="U19" s="11">
        <f t="shared" si="2"/>
        <v>229.30602519999999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12">
        <f t="shared" si="3"/>
        <v>229.30602519999999</v>
      </c>
    </row>
    <row r="20" spans="1:48">
      <c r="A20" s="1">
        <v>14</v>
      </c>
      <c r="B20" s="34" t="s">
        <v>26</v>
      </c>
      <c r="C20" s="35" t="s">
        <v>35</v>
      </c>
      <c r="D20" s="36">
        <v>1</v>
      </c>
      <c r="E20" s="4"/>
      <c r="F20" s="4"/>
      <c r="G20" s="4"/>
      <c r="H20" s="4"/>
      <c r="I20" s="4"/>
      <c r="J20" s="4"/>
      <c r="K20" s="6">
        <f>195656.12*1.18</f>
        <v>230874.22159999999</v>
      </c>
      <c r="L20" s="7">
        <f t="shared" si="0"/>
        <v>230.8742216</v>
      </c>
      <c r="M20" s="8">
        <v>126</v>
      </c>
      <c r="N20" s="9"/>
      <c r="O20" s="9"/>
      <c r="P20" s="9"/>
      <c r="Q20" s="10"/>
      <c r="R20" s="10"/>
      <c r="S20" s="5"/>
      <c r="T20" s="11">
        <f t="shared" si="1"/>
        <v>230874.22159999999</v>
      </c>
      <c r="U20" s="11">
        <f t="shared" si="2"/>
        <v>230.8742216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12">
        <f t="shared" si="3"/>
        <v>230.8742216</v>
      </c>
    </row>
    <row r="21" spans="1:48">
      <c r="A21" s="1">
        <v>15</v>
      </c>
      <c r="B21" s="39" t="s">
        <v>36</v>
      </c>
      <c r="C21" s="38">
        <v>18</v>
      </c>
      <c r="D21" s="38">
        <v>2</v>
      </c>
      <c r="E21" s="4"/>
      <c r="F21" s="4"/>
      <c r="G21" s="4"/>
      <c r="H21" s="4"/>
      <c r="I21" s="4"/>
      <c r="J21" s="4"/>
      <c r="K21" s="6">
        <f>188836.96*1.18</f>
        <v>222827.61279999997</v>
      </c>
      <c r="L21" s="7">
        <f t="shared" si="0"/>
        <v>222.82761279999997</v>
      </c>
      <c r="M21" s="13">
        <v>126</v>
      </c>
      <c r="N21" s="9"/>
      <c r="O21" s="9"/>
      <c r="P21" s="9"/>
      <c r="Q21" s="14"/>
      <c r="R21" s="10"/>
      <c r="S21" s="5"/>
      <c r="T21" s="11">
        <f t="shared" si="1"/>
        <v>222827.61279999997</v>
      </c>
      <c r="U21" s="11">
        <f t="shared" si="2"/>
        <v>222.82761279999997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12">
        <f t="shared" si="3"/>
        <v>222.82761279999997</v>
      </c>
    </row>
    <row r="22" spans="1:48">
      <c r="A22" s="1">
        <v>16</v>
      </c>
      <c r="B22" s="34" t="s">
        <v>33</v>
      </c>
      <c r="C22" s="35" t="s">
        <v>37</v>
      </c>
      <c r="D22" s="36">
        <v>3</v>
      </c>
      <c r="E22" s="4"/>
      <c r="F22" s="4"/>
      <c r="G22" s="4"/>
      <c r="H22" s="4"/>
      <c r="I22" s="4"/>
      <c r="J22" s="4"/>
      <c r="K22" s="6">
        <f>194912.94*1.18</f>
        <v>229997.26919999998</v>
      </c>
      <c r="L22" s="7">
        <f t="shared" si="0"/>
        <v>229.99726919999998</v>
      </c>
      <c r="M22" s="8">
        <v>126</v>
      </c>
      <c r="N22" s="9"/>
      <c r="O22" s="9"/>
      <c r="P22" s="9"/>
      <c r="Q22" s="10"/>
      <c r="R22" s="10"/>
      <c r="S22" s="5"/>
      <c r="T22" s="11">
        <f t="shared" si="1"/>
        <v>229997.26919999998</v>
      </c>
      <c r="U22" s="11">
        <f t="shared" si="2"/>
        <v>229.99726919999998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12">
        <f t="shared" si="3"/>
        <v>229.99726919999998</v>
      </c>
    </row>
    <row r="23" spans="1:48">
      <c r="A23" s="1">
        <v>17</v>
      </c>
      <c r="B23" s="39" t="s">
        <v>28</v>
      </c>
      <c r="C23" s="38">
        <v>7</v>
      </c>
      <c r="D23" s="38">
        <v>2</v>
      </c>
      <c r="E23" s="4"/>
      <c r="F23" s="4"/>
      <c r="G23" s="4"/>
      <c r="H23" s="4"/>
      <c r="I23" s="4"/>
      <c r="J23" s="4"/>
      <c r="K23" s="6">
        <f>364487.48*1.18</f>
        <v>430095.22639999993</v>
      </c>
      <c r="L23" s="7">
        <f t="shared" si="0"/>
        <v>430.09522639999994</v>
      </c>
      <c r="M23" s="13">
        <v>198</v>
      </c>
      <c r="N23" s="9"/>
      <c r="O23" s="9"/>
      <c r="P23" s="9"/>
      <c r="Q23" s="14"/>
      <c r="R23" s="10"/>
      <c r="S23" s="5"/>
      <c r="T23" s="11">
        <f t="shared" si="1"/>
        <v>430095.22639999993</v>
      </c>
      <c r="U23" s="11">
        <f t="shared" si="2"/>
        <v>430.09522639999994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12">
        <f t="shared" si="3"/>
        <v>430.09522639999994</v>
      </c>
    </row>
    <row r="24" spans="1:48">
      <c r="A24" s="1">
        <v>18</v>
      </c>
      <c r="B24" s="39" t="s">
        <v>28</v>
      </c>
      <c r="C24" s="38">
        <v>9</v>
      </c>
      <c r="D24" s="38">
        <v>2</v>
      </c>
      <c r="E24" s="4"/>
      <c r="F24" s="4"/>
      <c r="G24" s="4"/>
      <c r="H24" s="4"/>
      <c r="I24" s="4"/>
      <c r="J24" s="4"/>
      <c r="K24" s="6">
        <f>346847.92*1.18</f>
        <v>409280.54559999995</v>
      </c>
      <c r="L24" s="7">
        <f t="shared" si="0"/>
        <v>409.28054559999998</v>
      </c>
      <c r="M24" s="13">
        <v>216</v>
      </c>
      <c r="N24" s="9"/>
      <c r="O24" s="9"/>
      <c r="P24" s="9"/>
      <c r="Q24" s="14"/>
      <c r="R24" s="10"/>
      <c r="S24" s="5"/>
      <c r="T24" s="11">
        <f t="shared" si="1"/>
        <v>409280.54559999995</v>
      </c>
      <c r="U24" s="11">
        <f t="shared" si="2"/>
        <v>409.28054559999998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12">
        <f t="shared" si="3"/>
        <v>409.28054559999998</v>
      </c>
    </row>
    <row r="25" spans="1:48">
      <c r="A25" s="1">
        <v>19</v>
      </c>
      <c r="B25" s="34" t="s">
        <v>28</v>
      </c>
      <c r="C25" s="35" t="s">
        <v>38</v>
      </c>
      <c r="D25" s="36">
        <v>1</v>
      </c>
      <c r="E25" s="4"/>
      <c r="F25" s="4"/>
      <c r="G25" s="4"/>
      <c r="H25" s="4"/>
      <c r="I25" s="4"/>
      <c r="J25" s="4"/>
      <c r="K25" s="6">
        <f>354087.3*1.18</f>
        <v>417823.01399999997</v>
      </c>
      <c r="L25" s="7">
        <f t="shared" si="0"/>
        <v>417.82301399999994</v>
      </c>
      <c r="M25" s="8">
        <v>234</v>
      </c>
      <c r="N25" s="9"/>
      <c r="O25" s="9"/>
      <c r="P25" s="9"/>
      <c r="Q25" s="10"/>
      <c r="R25" s="10"/>
      <c r="S25" s="5"/>
      <c r="T25" s="11">
        <f t="shared" si="1"/>
        <v>417823.01399999997</v>
      </c>
      <c r="U25" s="11">
        <f t="shared" si="2"/>
        <v>417.82301399999994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12">
        <f t="shared" si="3"/>
        <v>417.82301399999994</v>
      </c>
    </row>
    <row r="26" spans="1:48">
      <c r="A26" s="1">
        <v>20</v>
      </c>
      <c r="B26" s="34" t="s">
        <v>26</v>
      </c>
      <c r="C26" s="35" t="s">
        <v>39</v>
      </c>
      <c r="D26" s="36">
        <v>2</v>
      </c>
      <c r="E26" s="4"/>
      <c r="F26" s="4"/>
      <c r="G26" s="4"/>
      <c r="H26" s="4"/>
      <c r="I26" s="4"/>
      <c r="J26" s="4"/>
      <c r="K26" s="6">
        <f>468508.2*1.18</f>
        <v>552839.67599999998</v>
      </c>
      <c r="L26" s="7">
        <f t="shared" si="0"/>
        <v>552.83967599999994</v>
      </c>
      <c r="M26" s="8">
        <v>306</v>
      </c>
      <c r="N26" s="9"/>
      <c r="O26" s="9"/>
      <c r="P26" s="9"/>
      <c r="Q26" s="10"/>
      <c r="R26" s="10"/>
      <c r="S26" s="5"/>
      <c r="T26" s="11">
        <f t="shared" si="1"/>
        <v>552839.67599999998</v>
      </c>
      <c r="U26" s="11">
        <f t="shared" si="2"/>
        <v>552.83967599999994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12">
        <f t="shared" si="3"/>
        <v>552.83967599999994</v>
      </c>
    </row>
    <row r="27" spans="1:48" ht="21" customHeight="1">
      <c r="A27" s="1">
        <v>21</v>
      </c>
      <c r="B27" s="34" t="s">
        <v>40</v>
      </c>
      <c r="C27" s="35" t="s">
        <v>41</v>
      </c>
      <c r="D27" s="36"/>
      <c r="E27" s="4"/>
      <c r="F27" s="15"/>
      <c r="G27" s="15"/>
      <c r="H27" s="15"/>
      <c r="I27" s="15"/>
      <c r="J27" s="15"/>
      <c r="K27" s="6">
        <f>761110*1.18</f>
        <v>898109.79999999993</v>
      </c>
      <c r="L27" s="7">
        <f t="shared" si="0"/>
        <v>898.10979999999995</v>
      </c>
      <c r="M27" s="8">
        <v>414</v>
      </c>
      <c r="N27" s="9"/>
      <c r="O27" s="9"/>
      <c r="P27" s="9"/>
      <c r="Q27" s="10"/>
      <c r="R27" s="10"/>
      <c r="S27" s="5"/>
      <c r="T27" s="11">
        <f t="shared" si="1"/>
        <v>898109.79999999993</v>
      </c>
      <c r="U27" s="11">
        <f t="shared" si="2"/>
        <v>898.10979999999995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4"/>
      <c r="AU27" s="4"/>
      <c r="AV27" s="12">
        <f t="shared" si="3"/>
        <v>898.10979999999995</v>
      </c>
    </row>
    <row r="28" spans="1:48">
      <c r="A28" s="1">
        <v>22</v>
      </c>
      <c r="B28" s="34" t="s">
        <v>33</v>
      </c>
      <c r="C28" s="35" t="s">
        <v>42</v>
      </c>
      <c r="D28" s="36"/>
      <c r="E28" s="4"/>
      <c r="F28" s="15"/>
      <c r="G28" s="15"/>
      <c r="H28" s="15"/>
      <c r="I28" s="15"/>
      <c r="J28" s="15"/>
      <c r="K28" s="6">
        <f>652078.79*1.18</f>
        <v>769452.97219999996</v>
      </c>
      <c r="L28" s="7">
        <f t="shared" si="0"/>
        <v>769.45297219999998</v>
      </c>
      <c r="M28" s="8">
        <v>432</v>
      </c>
      <c r="N28" s="9"/>
      <c r="O28" s="9"/>
      <c r="P28" s="9"/>
      <c r="Q28" s="10"/>
      <c r="R28" s="10"/>
      <c r="S28" s="5"/>
      <c r="T28" s="11">
        <f t="shared" si="1"/>
        <v>769452.97219999996</v>
      </c>
      <c r="U28" s="11">
        <f t="shared" si="2"/>
        <v>769.45297219999998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4"/>
      <c r="AU28" s="4"/>
      <c r="AV28" s="12">
        <f t="shared" si="3"/>
        <v>769.45297219999998</v>
      </c>
    </row>
    <row r="29" spans="1:48">
      <c r="A29" s="1">
        <v>23</v>
      </c>
      <c r="B29" s="34" t="s">
        <v>33</v>
      </c>
      <c r="C29" s="35" t="s">
        <v>43</v>
      </c>
      <c r="D29" s="36">
        <v>2</v>
      </c>
      <c r="E29" s="4"/>
      <c r="F29" s="15"/>
      <c r="G29" s="15"/>
      <c r="H29" s="15"/>
      <c r="I29" s="15"/>
      <c r="J29" s="15"/>
      <c r="K29" s="6">
        <f>653861.24*1.18</f>
        <v>771556.26319999993</v>
      </c>
      <c r="L29" s="7">
        <f t="shared" si="0"/>
        <v>771.55626319999988</v>
      </c>
      <c r="M29" s="8">
        <v>432</v>
      </c>
      <c r="N29" s="9"/>
      <c r="O29" s="9"/>
      <c r="P29" s="9"/>
      <c r="Q29" s="10"/>
      <c r="R29" s="10"/>
      <c r="S29" s="5"/>
      <c r="T29" s="11">
        <f t="shared" si="1"/>
        <v>771556.26319999993</v>
      </c>
      <c r="U29" s="11">
        <f t="shared" si="2"/>
        <v>771.55626319999988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4"/>
      <c r="AU29" s="4"/>
      <c r="AV29" s="12">
        <f t="shared" si="3"/>
        <v>771.55626319999988</v>
      </c>
    </row>
    <row r="30" spans="1:48">
      <c r="A30" s="1">
        <v>24</v>
      </c>
      <c r="B30" s="34" t="s">
        <v>33</v>
      </c>
      <c r="C30" s="35" t="s">
        <v>44</v>
      </c>
      <c r="D30" s="36">
        <v>1</v>
      </c>
      <c r="E30" s="4"/>
      <c r="F30" s="15"/>
      <c r="G30" s="15"/>
      <c r="H30" s="15"/>
      <c r="I30" s="15"/>
      <c r="J30" s="15"/>
      <c r="K30" s="6">
        <f>733093.46*1.18</f>
        <v>865050.28279999993</v>
      </c>
      <c r="L30" s="7">
        <f t="shared" si="0"/>
        <v>865.05028279999988</v>
      </c>
      <c r="M30" s="8">
        <v>486</v>
      </c>
      <c r="N30" s="9"/>
      <c r="O30" s="9"/>
      <c r="P30" s="9"/>
      <c r="Q30" s="10"/>
      <c r="R30" s="10"/>
      <c r="S30" s="5"/>
      <c r="T30" s="11">
        <f t="shared" si="1"/>
        <v>865050.28279999993</v>
      </c>
      <c r="U30" s="11">
        <f t="shared" si="2"/>
        <v>865.05028279999988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4"/>
      <c r="AU30" s="4"/>
      <c r="AV30" s="12">
        <f t="shared" si="3"/>
        <v>865.05028279999988</v>
      </c>
    </row>
    <row r="31" spans="1:48">
      <c r="A31" s="1">
        <v>25</v>
      </c>
      <c r="B31" s="39" t="s">
        <v>45</v>
      </c>
      <c r="C31" s="38">
        <v>4</v>
      </c>
      <c r="D31" s="38">
        <v>1</v>
      </c>
      <c r="E31" s="4"/>
      <c r="F31" s="4"/>
      <c r="G31" s="4"/>
      <c r="H31" s="4"/>
      <c r="I31" s="4"/>
      <c r="J31" s="4"/>
      <c r="K31" s="6">
        <f>52529.62*1.18</f>
        <v>61984.9516</v>
      </c>
      <c r="L31" s="7">
        <f t="shared" si="0"/>
        <v>61.984951600000002</v>
      </c>
      <c r="M31" s="13">
        <v>28.1</v>
      </c>
      <c r="N31" s="9"/>
      <c r="O31" s="9"/>
      <c r="P31" s="9"/>
      <c r="Q31" s="14">
        <f>72577.72*1.18</f>
        <v>85641.709600000002</v>
      </c>
      <c r="R31" s="10">
        <f t="shared" ref="R31:R66" si="4">Q31/1000</f>
        <v>85.641709599999999</v>
      </c>
      <c r="S31" s="5">
        <v>22.5</v>
      </c>
      <c r="T31" s="11">
        <f t="shared" si="1"/>
        <v>147626.6612</v>
      </c>
      <c r="U31" s="11">
        <f t="shared" si="2"/>
        <v>147.6266612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12">
        <f t="shared" si="3"/>
        <v>147.6266612</v>
      </c>
    </row>
    <row r="32" spans="1:48">
      <c r="A32" s="1">
        <v>26</v>
      </c>
      <c r="B32" s="34" t="s">
        <v>26</v>
      </c>
      <c r="C32" s="35" t="s">
        <v>39</v>
      </c>
      <c r="D32" s="36">
        <v>1</v>
      </c>
      <c r="E32" s="4"/>
      <c r="F32" s="15"/>
      <c r="G32" s="15"/>
      <c r="H32" s="15"/>
      <c r="I32" s="15"/>
      <c r="J32" s="15"/>
      <c r="K32" s="6">
        <f>143864.73*1.18</f>
        <v>169760.38140000001</v>
      </c>
      <c r="L32" s="7">
        <f t="shared" si="0"/>
        <v>169.7603814</v>
      </c>
      <c r="M32" s="8">
        <v>90</v>
      </c>
      <c r="N32" s="9"/>
      <c r="O32" s="9"/>
      <c r="P32" s="9"/>
      <c r="Q32" s="10">
        <f>165620.71*1.18</f>
        <v>195432.43779999999</v>
      </c>
      <c r="R32" s="10">
        <f t="shared" si="4"/>
        <v>195.43243779999997</v>
      </c>
      <c r="S32" s="5">
        <v>38.5</v>
      </c>
      <c r="T32" s="11">
        <f t="shared" si="1"/>
        <v>365192.81920000003</v>
      </c>
      <c r="U32" s="11">
        <f t="shared" si="2"/>
        <v>365.19281920000003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4"/>
      <c r="AS32" s="4"/>
      <c r="AT32" s="4"/>
      <c r="AU32" s="4"/>
      <c r="AV32" s="12">
        <f t="shared" si="3"/>
        <v>365.19281919999997</v>
      </c>
    </row>
    <row r="33" spans="1:48">
      <c r="A33" s="1">
        <v>27</v>
      </c>
      <c r="B33" s="34" t="s">
        <v>32</v>
      </c>
      <c r="C33" s="40">
        <v>8</v>
      </c>
      <c r="D33" s="40"/>
      <c r="E33" s="4"/>
      <c r="F33" s="15"/>
      <c r="G33" s="15"/>
      <c r="H33" s="15"/>
      <c r="I33" s="15"/>
      <c r="J33" s="15"/>
      <c r="K33" s="2"/>
      <c r="L33" s="2"/>
      <c r="M33" s="2"/>
      <c r="N33" s="2"/>
      <c r="O33" s="2"/>
      <c r="P33" s="2"/>
      <c r="Q33" s="10">
        <f>73939.67*1.18</f>
        <v>87248.810599999997</v>
      </c>
      <c r="R33" s="10">
        <f t="shared" si="4"/>
        <v>87.248810599999999</v>
      </c>
      <c r="S33" s="5">
        <v>22.5</v>
      </c>
      <c r="T33" s="11">
        <f t="shared" si="1"/>
        <v>87248.810599999997</v>
      </c>
      <c r="U33" s="11">
        <f t="shared" si="2"/>
        <v>87.248810599999999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4"/>
      <c r="AU33" s="4"/>
      <c r="AV33" s="12">
        <f t="shared" si="3"/>
        <v>87.248810599999999</v>
      </c>
    </row>
    <row r="34" spans="1:48">
      <c r="A34" s="1">
        <v>28</v>
      </c>
      <c r="B34" s="34" t="s">
        <v>32</v>
      </c>
      <c r="C34" s="40">
        <v>18</v>
      </c>
      <c r="D34" s="40"/>
      <c r="E34" s="4"/>
      <c r="F34" s="15"/>
      <c r="G34" s="15"/>
      <c r="H34" s="15"/>
      <c r="I34" s="15"/>
      <c r="J34" s="15"/>
      <c r="K34" s="2"/>
      <c r="L34" s="7"/>
      <c r="M34" s="2"/>
      <c r="N34" s="2"/>
      <c r="O34" s="2"/>
      <c r="P34" s="2"/>
      <c r="Q34" s="10">
        <f>73939.67*1.18</f>
        <v>87248.810599999997</v>
      </c>
      <c r="R34" s="10">
        <f t="shared" si="4"/>
        <v>87.248810599999999</v>
      </c>
      <c r="S34" s="5">
        <v>22.5</v>
      </c>
      <c r="T34" s="11">
        <f t="shared" si="1"/>
        <v>87248.810599999997</v>
      </c>
      <c r="U34" s="11">
        <f t="shared" si="2"/>
        <v>87.248810599999999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4"/>
      <c r="AU34" s="4"/>
      <c r="AV34" s="12">
        <f t="shared" si="3"/>
        <v>87.248810599999999</v>
      </c>
    </row>
    <row r="35" spans="1:48">
      <c r="A35" s="1">
        <v>29</v>
      </c>
      <c r="B35" s="34" t="s">
        <v>32</v>
      </c>
      <c r="C35" s="35" t="s">
        <v>39</v>
      </c>
      <c r="D35" s="36"/>
      <c r="E35" s="4"/>
      <c r="F35" s="15"/>
      <c r="G35" s="15"/>
      <c r="H35" s="15"/>
      <c r="I35" s="15"/>
      <c r="J35" s="15"/>
      <c r="K35" s="6"/>
      <c r="L35" s="7"/>
      <c r="M35" s="8"/>
      <c r="N35" s="9"/>
      <c r="O35" s="9"/>
      <c r="P35" s="9"/>
      <c r="Q35" s="10">
        <f>122537.35*1.18</f>
        <v>144594.073</v>
      </c>
      <c r="R35" s="10">
        <f t="shared" si="4"/>
        <v>144.59407300000001</v>
      </c>
      <c r="S35" s="5">
        <v>45</v>
      </c>
      <c r="T35" s="11">
        <f t="shared" si="1"/>
        <v>144594.073</v>
      </c>
      <c r="U35" s="11">
        <f t="shared" si="2"/>
        <v>144.59407300000001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4"/>
      <c r="AU35" s="4"/>
      <c r="AV35" s="12">
        <f t="shared" si="3"/>
        <v>144.59407300000001</v>
      </c>
    </row>
    <row r="36" spans="1:48">
      <c r="A36" s="1">
        <v>30</v>
      </c>
      <c r="B36" s="34" t="s">
        <v>31</v>
      </c>
      <c r="C36" s="35" t="s">
        <v>46</v>
      </c>
      <c r="D36" s="36">
        <v>2</v>
      </c>
      <c r="E36" s="4"/>
      <c r="F36" s="15"/>
      <c r="G36" s="15"/>
      <c r="H36" s="15"/>
      <c r="I36" s="15"/>
      <c r="J36" s="15"/>
      <c r="K36" s="6"/>
      <c r="L36" s="7"/>
      <c r="M36" s="8"/>
      <c r="N36" s="9"/>
      <c r="O36" s="9"/>
      <c r="P36" s="9"/>
      <c r="Q36" s="10">
        <f>73939.67*1.18</f>
        <v>87248.810599999997</v>
      </c>
      <c r="R36" s="10">
        <f t="shared" si="4"/>
        <v>87.248810599999999</v>
      </c>
      <c r="S36" s="5">
        <v>22.5</v>
      </c>
      <c r="T36" s="11">
        <f t="shared" si="1"/>
        <v>87248.810599999997</v>
      </c>
      <c r="U36" s="11">
        <f t="shared" si="2"/>
        <v>87.248810599999999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4"/>
      <c r="AU36" s="4"/>
      <c r="AV36" s="12">
        <f t="shared" si="3"/>
        <v>87.248810599999999</v>
      </c>
    </row>
    <row r="37" spans="1:48">
      <c r="A37" s="1">
        <v>31</v>
      </c>
      <c r="B37" s="39" t="s">
        <v>31</v>
      </c>
      <c r="C37" s="38">
        <v>35</v>
      </c>
      <c r="D37" s="38">
        <v>3</v>
      </c>
      <c r="E37" s="4"/>
      <c r="F37" s="15"/>
      <c r="G37" s="15"/>
      <c r="H37" s="15"/>
      <c r="I37" s="15"/>
      <c r="J37" s="15"/>
      <c r="K37" s="6"/>
      <c r="L37" s="7"/>
      <c r="M37" s="13"/>
      <c r="N37" s="9"/>
      <c r="O37" s="9"/>
      <c r="P37" s="9"/>
      <c r="Q37" s="14">
        <f>73939.67*1.18</f>
        <v>87248.810599999997</v>
      </c>
      <c r="R37" s="10">
        <f t="shared" si="4"/>
        <v>87.248810599999999</v>
      </c>
      <c r="S37" s="5">
        <v>22.5</v>
      </c>
      <c r="T37" s="11">
        <f t="shared" si="1"/>
        <v>87248.810599999997</v>
      </c>
      <c r="U37" s="11">
        <f t="shared" si="2"/>
        <v>87.248810599999999</v>
      </c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4"/>
      <c r="AU37" s="4"/>
      <c r="AV37" s="12">
        <f t="shared" si="3"/>
        <v>87.248810599999999</v>
      </c>
    </row>
    <row r="38" spans="1:48">
      <c r="A38" s="1">
        <v>32</v>
      </c>
      <c r="B38" s="39" t="s">
        <v>31</v>
      </c>
      <c r="C38" s="38">
        <v>41</v>
      </c>
      <c r="D38" s="38">
        <v>2</v>
      </c>
      <c r="E38" s="4"/>
      <c r="F38" s="15"/>
      <c r="G38" s="15"/>
      <c r="H38" s="15"/>
      <c r="I38" s="15"/>
      <c r="J38" s="15"/>
      <c r="K38" s="6"/>
      <c r="L38" s="7"/>
      <c r="M38" s="13"/>
      <c r="N38" s="9"/>
      <c r="O38" s="9"/>
      <c r="P38" s="9"/>
      <c r="Q38" s="14">
        <f>73958.4*1.18</f>
        <v>87270.911999999982</v>
      </c>
      <c r="R38" s="10">
        <f t="shared" si="4"/>
        <v>87.270911999999981</v>
      </c>
      <c r="S38" s="5">
        <v>22.5</v>
      </c>
      <c r="T38" s="11">
        <f t="shared" si="1"/>
        <v>87270.911999999982</v>
      </c>
      <c r="U38" s="11">
        <f t="shared" si="2"/>
        <v>87.270911999999981</v>
      </c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4"/>
      <c r="AU38" s="4"/>
      <c r="AV38" s="12">
        <f t="shared" si="3"/>
        <v>87.270911999999981</v>
      </c>
    </row>
    <row r="39" spans="1:48">
      <c r="A39" s="1">
        <v>33</v>
      </c>
      <c r="B39" s="39" t="s">
        <v>31</v>
      </c>
      <c r="C39" s="38">
        <v>49</v>
      </c>
      <c r="D39" s="38">
        <v>2</v>
      </c>
      <c r="E39" s="4"/>
      <c r="F39" s="15"/>
      <c r="G39" s="15"/>
      <c r="H39" s="15"/>
      <c r="I39" s="15"/>
      <c r="J39" s="15"/>
      <c r="K39" s="6"/>
      <c r="L39" s="7"/>
      <c r="M39" s="13"/>
      <c r="N39" s="9"/>
      <c r="O39" s="9"/>
      <c r="P39" s="9"/>
      <c r="Q39" s="14">
        <f>149729.79*1.18</f>
        <v>176681.15220000001</v>
      </c>
      <c r="R39" s="10">
        <f t="shared" si="4"/>
        <v>176.68115220000001</v>
      </c>
      <c r="S39" s="5">
        <v>53</v>
      </c>
      <c r="T39" s="11">
        <f t="shared" ref="T39:T66" si="5">K39+N39+Q39</f>
        <v>176681.15220000001</v>
      </c>
      <c r="U39" s="11">
        <f t="shared" ref="U39:U66" si="6">T39/1000</f>
        <v>176.68115220000001</v>
      </c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4"/>
      <c r="AU39" s="4"/>
      <c r="AV39" s="12">
        <f t="shared" ref="AV39:AV72" si="7">L39+O39+R39+F39+I39+Y39+AB39+AD39+AG39+AJ39+AM39+AP39+AS39</f>
        <v>176.68115220000001</v>
      </c>
    </row>
    <row r="40" spans="1:48">
      <c r="A40" s="1">
        <v>34</v>
      </c>
      <c r="B40" s="39" t="s">
        <v>47</v>
      </c>
      <c r="C40" s="38">
        <v>4</v>
      </c>
      <c r="D40" s="38"/>
      <c r="E40" s="4"/>
      <c r="F40" s="15"/>
      <c r="G40" s="15"/>
      <c r="H40" s="15"/>
      <c r="I40" s="15"/>
      <c r="J40" s="15"/>
      <c r="K40" s="6"/>
      <c r="L40" s="7"/>
      <c r="M40" s="13"/>
      <c r="N40" s="9"/>
      <c r="O40" s="9"/>
      <c r="P40" s="9"/>
      <c r="Q40" s="14">
        <f>73933.42*1.18</f>
        <v>87241.435599999997</v>
      </c>
      <c r="R40" s="10">
        <f t="shared" si="4"/>
        <v>87.241435600000003</v>
      </c>
      <c r="S40" s="5">
        <v>22.5</v>
      </c>
      <c r="T40" s="11">
        <f t="shared" si="5"/>
        <v>87241.435599999997</v>
      </c>
      <c r="U40" s="11">
        <f t="shared" si="6"/>
        <v>87.241435600000003</v>
      </c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4"/>
      <c r="AU40" s="4"/>
      <c r="AV40" s="12">
        <f t="shared" si="7"/>
        <v>87.241435600000003</v>
      </c>
    </row>
    <row r="41" spans="1:48">
      <c r="A41" s="1">
        <v>35</v>
      </c>
      <c r="B41" s="39" t="s">
        <v>47</v>
      </c>
      <c r="C41" s="38">
        <v>33</v>
      </c>
      <c r="D41" s="38">
        <v>5</v>
      </c>
      <c r="E41" s="4"/>
      <c r="F41" s="15"/>
      <c r="G41" s="15"/>
      <c r="H41" s="15"/>
      <c r="I41" s="15"/>
      <c r="J41" s="15"/>
      <c r="K41" s="6"/>
      <c r="L41" s="7"/>
      <c r="M41" s="13"/>
      <c r="N41" s="9"/>
      <c r="O41" s="9"/>
      <c r="P41" s="9"/>
      <c r="Q41" s="10">
        <f>73935.5*1.18</f>
        <v>87243.89</v>
      </c>
      <c r="R41" s="10">
        <f t="shared" si="4"/>
        <v>87.243889999999993</v>
      </c>
      <c r="S41" s="5">
        <v>22.5</v>
      </c>
      <c r="T41" s="11">
        <f t="shared" si="5"/>
        <v>87243.89</v>
      </c>
      <c r="U41" s="11">
        <f t="shared" si="6"/>
        <v>87.243889999999993</v>
      </c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4"/>
      <c r="AU41" s="4"/>
      <c r="AV41" s="12">
        <f t="shared" si="7"/>
        <v>87.243889999999993</v>
      </c>
    </row>
    <row r="42" spans="1:48">
      <c r="A42" s="1">
        <v>36</v>
      </c>
      <c r="B42" s="34" t="s">
        <v>28</v>
      </c>
      <c r="C42" s="38">
        <v>6</v>
      </c>
      <c r="D42" s="38">
        <v>3</v>
      </c>
      <c r="E42" s="4"/>
      <c r="F42" s="15"/>
      <c r="G42" s="15"/>
      <c r="H42" s="15"/>
      <c r="I42" s="15"/>
      <c r="J42" s="15"/>
      <c r="K42" s="6"/>
      <c r="L42" s="7"/>
      <c r="M42" s="13"/>
      <c r="N42" s="9"/>
      <c r="O42" s="9"/>
      <c r="P42" s="9"/>
      <c r="Q42" s="14">
        <f>138923.68*1.18</f>
        <v>163929.94239999997</v>
      </c>
      <c r="R42" s="10">
        <f t="shared" si="4"/>
        <v>163.92994239999996</v>
      </c>
      <c r="S42" s="5">
        <v>45</v>
      </c>
      <c r="T42" s="11">
        <f t="shared" si="5"/>
        <v>163929.94239999997</v>
      </c>
      <c r="U42" s="11">
        <f t="shared" si="6"/>
        <v>163.92994239999996</v>
      </c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4"/>
      <c r="AU42" s="4"/>
      <c r="AV42" s="12">
        <f t="shared" si="7"/>
        <v>163.92994239999996</v>
      </c>
    </row>
    <row r="43" spans="1:48">
      <c r="A43" s="1">
        <v>37</v>
      </c>
      <c r="B43" s="39" t="s">
        <v>28</v>
      </c>
      <c r="C43" s="38">
        <v>35</v>
      </c>
      <c r="D43" s="38"/>
      <c r="E43" s="4"/>
      <c r="F43" s="15"/>
      <c r="G43" s="15"/>
      <c r="H43" s="15"/>
      <c r="I43" s="15"/>
      <c r="J43" s="15"/>
      <c r="K43" s="6"/>
      <c r="L43" s="7"/>
      <c r="M43" s="13"/>
      <c r="N43" s="9"/>
      <c r="O43" s="9"/>
      <c r="P43" s="9"/>
      <c r="Q43" s="14">
        <f>75218.48*1.18</f>
        <v>88757.806399999987</v>
      </c>
      <c r="R43" s="10">
        <f t="shared" si="4"/>
        <v>88.757806399999993</v>
      </c>
      <c r="S43" s="5">
        <v>22.5</v>
      </c>
      <c r="T43" s="11">
        <f t="shared" si="5"/>
        <v>88757.806399999987</v>
      </c>
      <c r="U43" s="11">
        <f t="shared" si="6"/>
        <v>88.757806399999993</v>
      </c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4"/>
      <c r="AU43" s="4"/>
      <c r="AV43" s="12">
        <f t="shared" si="7"/>
        <v>88.757806399999993</v>
      </c>
    </row>
    <row r="44" spans="1:48">
      <c r="A44" s="1">
        <v>38</v>
      </c>
      <c r="B44" s="34" t="s">
        <v>26</v>
      </c>
      <c r="C44" s="38">
        <v>15</v>
      </c>
      <c r="D44" s="38"/>
      <c r="E44" s="4"/>
      <c r="F44" s="15"/>
      <c r="G44" s="15"/>
      <c r="H44" s="15"/>
      <c r="I44" s="15"/>
      <c r="J44" s="15"/>
      <c r="K44" s="6"/>
      <c r="L44" s="7"/>
      <c r="M44" s="13"/>
      <c r="N44" s="9"/>
      <c r="O44" s="9"/>
      <c r="P44" s="9"/>
      <c r="Q44" s="14">
        <f>75218.48*1.18</f>
        <v>88757.806399999987</v>
      </c>
      <c r="R44" s="10">
        <f t="shared" si="4"/>
        <v>88.757806399999993</v>
      </c>
      <c r="S44" s="5">
        <v>22.5</v>
      </c>
      <c r="T44" s="11">
        <f t="shared" si="5"/>
        <v>88757.806399999987</v>
      </c>
      <c r="U44" s="11">
        <f t="shared" si="6"/>
        <v>88.757806399999993</v>
      </c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4"/>
      <c r="AU44" s="4"/>
      <c r="AV44" s="12">
        <f t="shared" si="7"/>
        <v>88.757806399999993</v>
      </c>
    </row>
    <row r="45" spans="1:48">
      <c r="A45" s="1">
        <v>39</v>
      </c>
      <c r="B45" s="34" t="s">
        <v>26</v>
      </c>
      <c r="C45" s="35" t="s">
        <v>48</v>
      </c>
      <c r="D45" s="36"/>
      <c r="E45" s="4"/>
      <c r="F45" s="15"/>
      <c r="G45" s="15"/>
      <c r="H45" s="15"/>
      <c r="I45" s="15"/>
      <c r="J45" s="15"/>
      <c r="K45" s="6"/>
      <c r="L45" s="7"/>
      <c r="M45" s="8"/>
      <c r="N45" s="9"/>
      <c r="O45" s="9"/>
      <c r="P45" s="9"/>
      <c r="Q45" s="10">
        <f>92461.19*1.18</f>
        <v>109104.20419999999</v>
      </c>
      <c r="R45" s="10">
        <f t="shared" si="4"/>
        <v>109.1042042</v>
      </c>
      <c r="S45" s="5">
        <v>12</v>
      </c>
      <c r="T45" s="11">
        <f t="shared" si="5"/>
        <v>109104.20419999999</v>
      </c>
      <c r="U45" s="11">
        <f t="shared" si="6"/>
        <v>109.1042042</v>
      </c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4"/>
      <c r="AU45" s="4"/>
      <c r="AV45" s="12">
        <f t="shared" si="7"/>
        <v>109.1042042</v>
      </c>
    </row>
    <row r="46" spans="1:48">
      <c r="A46" s="1">
        <v>40</v>
      </c>
      <c r="B46" s="39" t="s">
        <v>29</v>
      </c>
      <c r="C46" s="35" t="s">
        <v>49</v>
      </c>
      <c r="D46" s="36">
        <v>3</v>
      </c>
      <c r="E46" s="4"/>
      <c r="F46" s="15"/>
      <c r="G46" s="15"/>
      <c r="H46" s="15"/>
      <c r="I46" s="15"/>
      <c r="J46" s="15"/>
      <c r="K46" s="6"/>
      <c r="L46" s="7"/>
      <c r="M46" s="8"/>
      <c r="N46" s="9"/>
      <c r="O46" s="9"/>
      <c r="P46" s="9"/>
      <c r="Q46" s="10">
        <f>75218.48*1.18</f>
        <v>88757.806399999987</v>
      </c>
      <c r="R46" s="10">
        <f t="shared" si="4"/>
        <v>88.757806399999993</v>
      </c>
      <c r="S46" s="5">
        <v>22.5</v>
      </c>
      <c r="T46" s="11">
        <f t="shared" si="5"/>
        <v>88757.806399999987</v>
      </c>
      <c r="U46" s="11">
        <f t="shared" si="6"/>
        <v>88.757806399999993</v>
      </c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4"/>
      <c r="AU46" s="4"/>
      <c r="AV46" s="12">
        <f t="shared" si="7"/>
        <v>88.757806399999993</v>
      </c>
    </row>
    <row r="47" spans="1:48">
      <c r="A47" s="1">
        <v>41</v>
      </c>
      <c r="B47" s="39" t="s">
        <v>29</v>
      </c>
      <c r="C47" s="35" t="s">
        <v>43</v>
      </c>
      <c r="D47" s="36"/>
      <c r="E47" s="4"/>
      <c r="F47" s="15"/>
      <c r="G47" s="15"/>
      <c r="H47" s="15"/>
      <c r="I47" s="15"/>
      <c r="J47" s="15"/>
      <c r="K47" s="6"/>
      <c r="L47" s="7"/>
      <c r="M47" s="8"/>
      <c r="N47" s="9"/>
      <c r="O47" s="9"/>
      <c r="P47" s="9"/>
      <c r="Q47" s="10">
        <f>75218.48*1.18</f>
        <v>88757.806399999987</v>
      </c>
      <c r="R47" s="10">
        <f t="shared" si="4"/>
        <v>88.757806399999993</v>
      </c>
      <c r="S47" s="5">
        <v>22.5</v>
      </c>
      <c r="T47" s="11">
        <f t="shared" si="5"/>
        <v>88757.806399999987</v>
      </c>
      <c r="U47" s="11">
        <f t="shared" si="6"/>
        <v>88.757806399999993</v>
      </c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4"/>
      <c r="AU47" s="4"/>
      <c r="AV47" s="12">
        <f t="shared" si="7"/>
        <v>88.757806399999993</v>
      </c>
    </row>
    <row r="48" spans="1:48">
      <c r="A48" s="1">
        <v>42</v>
      </c>
      <c r="B48" s="39" t="s">
        <v>29</v>
      </c>
      <c r="C48" s="35" t="s">
        <v>50</v>
      </c>
      <c r="D48" s="36">
        <v>2</v>
      </c>
      <c r="E48" s="4"/>
      <c r="F48" s="15"/>
      <c r="G48" s="15"/>
      <c r="H48" s="15"/>
      <c r="I48" s="15"/>
      <c r="J48" s="15"/>
      <c r="K48" s="6"/>
      <c r="L48" s="7"/>
      <c r="M48" s="8"/>
      <c r="N48" s="9"/>
      <c r="O48" s="9"/>
      <c r="P48" s="9"/>
      <c r="Q48" s="10">
        <f>75197.66*1.18</f>
        <v>88733.238800000006</v>
      </c>
      <c r="R48" s="10">
        <f t="shared" si="4"/>
        <v>88.733238800000009</v>
      </c>
      <c r="S48" s="5">
        <v>22.5</v>
      </c>
      <c r="T48" s="11">
        <f t="shared" si="5"/>
        <v>88733.238800000006</v>
      </c>
      <c r="U48" s="11">
        <f t="shared" si="6"/>
        <v>88.733238800000009</v>
      </c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4"/>
      <c r="AU48" s="4"/>
      <c r="AV48" s="12">
        <f t="shared" si="7"/>
        <v>88.733238800000009</v>
      </c>
    </row>
    <row r="49" spans="1:48">
      <c r="A49" s="1">
        <v>43</v>
      </c>
      <c r="B49" s="39" t="s">
        <v>29</v>
      </c>
      <c r="C49" s="38">
        <v>41</v>
      </c>
      <c r="D49" s="38"/>
      <c r="E49" s="4"/>
      <c r="F49" s="15"/>
      <c r="G49" s="15"/>
      <c r="H49" s="15"/>
      <c r="I49" s="15"/>
      <c r="J49" s="15"/>
      <c r="K49" s="6"/>
      <c r="L49" s="7"/>
      <c r="M49" s="13"/>
      <c r="N49" s="9"/>
      <c r="O49" s="9"/>
      <c r="P49" s="9"/>
      <c r="Q49" s="14">
        <f>138923.68*1.18</f>
        <v>163929.94239999997</v>
      </c>
      <c r="R49" s="10">
        <f t="shared" si="4"/>
        <v>163.92994239999996</v>
      </c>
      <c r="S49" s="5">
        <v>45</v>
      </c>
      <c r="T49" s="11">
        <f t="shared" si="5"/>
        <v>163929.94239999997</v>
      </c>
      <c r="U49" s="11">
        <f t="shared" si="6"/>
        <v>163.92994239999996</v>
      </c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4"/>
      <c r="AU49" s="4"/>
      <c r="AV49" s="12">
        <f t="shared" si="7"/>
        <v>163.92994239999996</v>
      </c>
    </row>
    <row r="50" spans="1:48">
      <c r="A50" s="1">
        <v>44</v>
      </c>
      <c r="B50" s="34" t="s">
        <v>36</v>
      </c>
      <c r="C50" s="35" t="s">
        <v>51</v>
      </c>
      <c r="D50" s="38"/>
      <c r="E50" s="4"/>
      <c r="F50" s="15"/>
      <c r="G50" s="15"/>
      <c r="H50" s="15"/>
      <c r="I50" s="15"/>
      <c r="J50" s="15"/>
      <c r="K50" s="6"/>
      <c r="L50" s="7"/>
      <c r="M50" s="13"/>
      <c r="N50" s="9"/>
      <c r="O50" s="9"/>
      <c r="P50" s="9"/>
      <c r="Q50" s="14">
        <f>138923.68*1.18</f>
        <v>163929.94239999997</v>
      </c>
      <c r="R50" s="10">
        <f t="shared" si="4"/>
        <v>163.92994239999996</v>
      </c>
      <c r="S50" s="5">
        <v>45</v>
      </c>
      <c r="T50" s="11">
        <f t="shared" si="5"/>
        <v>163929.94239999997</v>
      </c>
      <c r="U50" s="11">
        <f t="shared" si="6"/>
        <v>163.92994239999996</v>
      </c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4"/>
      <c r="AU50" s="4"/>
      <c r="AV50" s="12">
        <f t="shared" si="7"/>
        <v>163.92994239999996</v>
      </c>
    </row>
    <row r="51" spans="1:48">
      <c r="A51" s="1">
        <v>45</v>
      </c>
      <c r="B51" s="34" t="s">
        <v>36</v>
      </c>
      <c r="C51" s="41">
        <v>8</v>
      </c>
      <c r="D51" s="38"/>
      <c r="E51" s="4"/>
      <c r="F51" s="15"/>
      <c r="G51" s="15"/>
      <c r="H51" s="15"/>
      <c r="I51" s="15"/>
      <c r="J51" s="15"/>
      <c r="K51" s="6"/>
      <c r="L51" s="7"/>
      <c r="M51" s="13"/>
      <c r="N51" s="9"/>
      <c r="O51" s="9"/>
      <c r="P51" s="9"/>
      <c r="Q51" s="14">
        <f>75218.48*1.18</f>
        <v>88757.806399999987</v>
      </c>
      <c r="R51" s="10">
        <f t="shared" si="4"/>
        <v>88.757806399999993</v>
      </c>
      <c r="S51" s="5">
        <v>22.5</v>
      </c>
      <c r="T51" s="11">
        <f t="shared" si="5"/>
        <v>88757.806399999987</v>
      </c>
      <c r="U51" s="11">
        <f t="shared" si="6"/>
        <v>88.757806399999993</v>
      </c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4"/>
      <c r="AU51" s="4"/>
      <c r="AV51" s="12">
        <f t="shared" si="7"/>
        <v>88.757806399999993</v>
      </c>
    </row>
    <row r="52" spans="1:48">
      <c r="A52" s="1">
        <v>46</v>
      </c>
      <c r="B52" s="34" t="s">
        <v>36</v>
      </c>
      <c r="C52" s="41">
        <v>20</v>
      </c>
      <c r="D52" s="38">
        <v>3</v>
      </c>
      <c r="E52" s="4"/>
      <c r="F52" s="15"/>
      <c r="G52" s="15"/>
      <c r="H52" s="15"/>
      <c r="I52" s="15"/>
      <c r="J52" s="15"/>
      <c r="K52" s="6"/>
      <c r="L52" s="7"/>
      <c r="M52" s="13"/>
      <c r="N52" s="9"/>
      <c r="O52" s="9"/>
      <c r="P52" s="9"/>
      <c r="Q52" s="14">
        <f>74576.09*1.18</f>
        <v>87999.786199999988</v>
      </c>
      <c r="R52" s="10">
        <f t="shared" si="4"/>
        <v>87.999786199999988</v>
      </c>
      <c r="S52" s="5">
        <v>22.5</v>
      </c>
      <c r="T52" s="11">
        <f t="shared" si="5"/>
        <v>87999.786199999988</v>
      </c>
      <c r="U52" s="11">
        <f t="shared" si="6"/>
        <v>87.999786199999988</v>
      </c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4"/>
      <c r="AU52" s="4"/>
      <c r="AV52" s="12">
        <f t="shared" si="7"/>
        <v>87.999786199999988</v>
      </c>
    </row>
    <row r="53" spans="1:48">
      <c r="A53" s="1">
        <v>47</v>
      </c>
      <c r="B53" s="34" t="s">
        <v>36</v>
      </c>
      <c r="C53" s="35" t="s">
        <v>52</v>
      </c>
      <c r="D53" s="36">
        <v>1</v>
      </c>
      <c r="E53" s="4"/>
      <c r="F53" s="15"/>
      <c r="G53" s="15"/>
      <c r="H53" s="15"/>
      <c r="I53" s="15"/>
      <c r="J53" s="15"/>
      <c r="K53" s="6"/>
      <c r="L53" s="7"/>
      <c r="M53" s="8"/>
      <c r="N53" s="9"/>
      <c r="O53" s="9"/>
      <c r="P53" s="9"/>
      <c r="Q53" s="10">
        <f>75218.48*1.18</f>
        <v>88757.806399999987</v>
      </c>
      <c r="R53" s="10">
        <f t="shared" si="4"/>
        <v>88.757806399999993</v>
      </c>
      <c r="S53" s="5">
        <v>22.5</v>
      </c>
      <c r="T53" s="11">
        <f t="shared" si="5"/>
        <v>88757.806399999987</v>
      </c>
      <c r="U53" s="11">
        <f t="shared" si="6"/>
        <v>88.757806399999993</v>
      </c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4"/>
      <c r="AU53" s="4"/>
      <c r="AV53" s="12">
        <f t="shared" si="7"/>
        <v>88.757806399999993</v>
      </c>
    </row>
    <row r="54" spans="1:48">
      <c r="A54" s="1">
        <v>48</v>
      </c>
      <c r="B54" s="34" t="s">
        <v>36</v>
      </c>
      <c r="C54" s="35" t="s">
        <v>52</v>
      </c>
      <c r="D54" s="36">
        <v>3</v>
      </c>
      <c r="E54" s="4"/>
      <c r="F54" s="15"/>
      <c r="G54" s="15"/>
      <c r="H54" s="15"/>
      <c r="I54" s="15"/>
      <c r="J54" s="15"/>
      <c r="K54" s="6"/>
      <c r="L54" s="7"/>
      <c r="M54" s="8"/>
      <c r="N54" s="9"/>
      <c r="O54" s="9"/>
      <c r="P54" s="9"/>
      <c r="Q54" s="10">
        <f>75208.07*1.18</f>
        <v>88745.522599999997</v>
      </c>
      <c r="R54" s="10">
        <f t="shared" si="4"/>
        <v>88.745522600000001</v>
      </c>
      <c r="S54" s="5">
        <v>22.5</v>
      </c>
      <c r="T54" s="11">
        <f t="shared" si="5"/>
        <v>88745.522599999997</v>
      </c>
      <c r="U54" s="11">
        <f t="shared" si="6"/>
        <v>88.745522600000001</v>
      </c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4"/>
      <c r="AU54" s="4"/>
      <c r="AV54" s="12">
        <f t="shared" si="7"/>
        <v>88.745522600000001</v>
      </c>
    </row>
    <row r="55" spans="1:48">
      <c r="A55" s="1">
        <v>49</v>
      </c>
      <c r="B55" s="39" t="s">
        <v>45</v>
      </c>
      <c r="C55" s="38">
        <v>3</v>
      </c>
      <c r="D55" s="38">
        <v>2</v>
      </c>
      <c r="E55" s="4"/>
      <c r="F55" s="15"/>
      <c r="G55" s="15"/>
      <c r="H55" s="15"/>
      <c r="I55" s="15"/>
      <c r="J55" s="15"/>
      <c r="K55" s="6"/>
      <c r="L55" s="7"/>
      <c r="M55" s="13"/>
      <c r="N55" s="9"/>
      <c r="O55" s="9"/>
      <c r="P55" s="9"/>
      <c r="Q55" s="14">
        <f>73927.18*1.18</f>
        <v>87234.07239999999</v>
      </c>
      <c r="R55" s="10">
        <f t="shared" si="4"/>
        <v>87.234072399999988</v>
      </c>
      <c r="S55" s="5">
        <v>22.5</v>
      </c>
      <c r="T55" s="11">
        <f t="shared" si="5"/>
        <v>87234.07239999999</v>
      </c>
      <c r="U55" s="11">
        <f t="shared" si="6"/>
        <v>87.234072399999988</v>
      </c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4"/>
      <c r="AU55" s="4"/>
      <c r="AV55" s="12">
        <f t="shared" si="7"/>
        <v>87.234072399999988</v>
      </c>
    </row>
    <row r="56" spans="1:48">
      <c r="A56" s="1">
        <v>50</v>
      </c>
      <c r="B56" s="39" t="s">
        <v>53</v>
      </c>
      <c r="C56" s="35" t="s">
        <v>54</v>
      </c>
      <c r="D56" s="38">
        <v>3</v>
      </c>
      <c r="E56" s="4"/>
      <c r="F56" s="15"/>
      <c r="G56" s="15"/>
      <c r="H56" s="15"/>
      <c r="I56" s="15"/>
      <c r="J56" s="15"/>
      <c r="K56" s="6"/>
      <c r="L56" s="7"/>
      <c r="M56" s="13"/>
      <c r="N56" s="9"/>
      <c r="O56" s="9"/>
      <c r="P56" s="9"/>
      <c r="Q56" s="14">
        <f>75220.56*1.18</f>
        <v>88760.260799999989</v>
      </c>
      <c r="R56" s="10">
        <f t="shared" si="4"/>
        <v>88.760260799999983</v>
      </c>
      <c r="S56" s="5">
        <v>22.5</v>
      </c>
      <c r="T56" s="11">
        <f t="shared" si="5"/>
        <v>88760.260799999989</v>
      </c>
      <c r="U56" s="11">
        <f t="shared" si="6"/>
        <v>88.760260799999983</v>
      </c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4"/>
      <c r="AU56" s="4"/>
      <c r="AV56" s="12">
        <f t="shared" si="7"/>
        <v>88.760260799999983</v>
      </c>
    </row>
    <row r="57" spans="1:48">
      <c r="A57" s="1">
        <v>51</v>
      </c>
      <c r="B57" s="39" t="s">
        <v>53</v>
      </c>
      <c r="C57" s="38">
        <v>22</v>
      </c>
      <c r="D57" s="38">
        <v>3</v>
      </c>
      <c r="E57" s="4"/>
      <c r="F57" s="15"/>
      <c r="G57" s="15"/>
      <c r="H57" s="15"/>
      <c r="I57" s="15"/>
      <c r="J57" s="15"/>
      <c r="K57" s="6"/>
      <c r="L57" s="7"/>
      <c r="M57" s="13"/>
      <c r="N57" s="9"/>
      <c r="O57" s="9"/>
      <c r="P57" s="9"/>
      <c r="Q57" s="14">
        <f>75197.66*1.18</f>
        <v>88733.238800000006</v>
      </c>
      <c r="R57" s="10">
        <f t="shared" si="4"/>
        <v>88.733238800000009</v>
      </c>
      <c r="S57" s="5">
        <v>22.5</v>
      </c>
      <c r="T57" s="11">
        <f t="shared" si="5"/>
        <v>88733.238800000006</v>
      </c>
      <c r="U57" s="11">
        <f t="shared" si="6"/>
        <v>88.733238800000009</v>
      </c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4"/>
      <c r="AU57" s="4"/>
      <c r="AV57" s="12">
        <f t="shared" si="7"/>
        <v>88.733238800000009</v>
      </c>
    </row>
    <row r="58" spans="1:48" ht="21" customHeight="1">
      <c r="A58" s="1">
        <v>52</v>
      </c>
      <c r="B58" s="34" t="s">
        <v>40</v>
      </c>
      <c r="C58" s="35" t="s">
        <v>55</v>
      </c>
      <c r="D58" s="38">
        <v>3</v>
      </c>
      <c r="E58" s="4"/>
      <c r="F58" s="15"/>
      <c r="G58" s="15"/>
      <c r="H58" s="15"/>
      <c r="I58" s="15"/>
      <c r="J58" s="15"/>
      <c r="K58" s="6"/>
      <c r="L58" s="7"/>
      <c r="M58" s="13"/>
      <c r="N58" s="9"/>
      <c r="O58" s="9"/>
      <c r="P58" s="9"/>
      <c r="Q58" s="14">
        <f>68855.62*1.18</f>
        <v>81249.631599999993</v>
      </c>
      <c r="R58" s="10">
        <f t="shared" si="4"/>
        <v>81.249631599999987</v>
      </c>
      <c r="S58" s="5">
        <v>22.5</v>
      </c>
      <c r="T58" s="11">
        <f t="shared" si="5"/>
        <v>81249.631599999993</v>
      </c>
      <c r="U58" s="11">
        <f t="shared" si="6"/>
        <v>81.249631599999987</v>
      </c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4"/>
      <c r="AU58" s="4"/>
      <c r="AV58" s="12">
        <f t="shared" si="7"/>
        <v>81.249631599999987</v>
      </c>
    </row>
    <row r="59" spans="1:48" ht="19.5" customHeight="1">
      <c r="A59" s="1">
        <v>53</v>
      </c>
      <c r="B59" s="34" t="s">
        <v>40</v>
      </c>
      <c r="C59" s="38">
        <v>16</v>
      </c>
      <c r="D59" s="38">
        <v>2</v>
      </c>
      <c r="E59" s="4"/>
      <c r="F59" s="15"/>
      <c r="G59" s="15"/>
      <c r="H59" s="15"/>
      <c r="I59" s="15"/>
      <c r="J59" s="15"/>
      <c r="K59" s="6"/>
      <c r="L59" s="7"/>
      <c r="M59" s="13"/>
      <c r="N59" s="9"/>
      <c r="O59" s="9"/>
      <c r="P59" s="9"/>
      <c r="Q59" s="14">
        <f>68863.94*1.18</f>
        <v>81259.449200000003</v>
      </c>
      <c r="R59" s="10">
        <f t="shared" si="4"/>
        <v>81.259449200000006</v>
      </c>
      <c r="S59" s="5">
        <v>22.5</v>
      </c>
      <c r="T59" s="11">
        <f t="shared" si="5"/>
        <v>81259.449200000003</v>
      </c>
      <c r="U59" s="11">
        <f t="shared" si="6"/>
        <v>81.259449200000006</v>
      </c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4"/>
      <c r="AU59" s="4"/>
      <c r="AV59" s="12">
        <f t="shared" si="7"/>
        <v>81.259449200000006</v>
      </c>
    </row>
    <row r="60" spans="1:48" ht="22.5" customHeight="1">
      <c r="A60" s="1">
        <v>54</v>
      </c>
      <c r="B60" s="34" t="s">
        <v>40</v>
      </c>
      <c r="C60" s="38">
        <v>18</v>
      </c>
      <c r="D60" s="38">
        <v>4</v>
      </c>
      <c r="E60" s="4"/>
      <c r="F60" s="15"/>
      <c r="G60" s="15"/>
      <c r="H60" s="15"/>
      <c r="I60" s="15"/>
      <c r="J60" s="15"/>
      <c r="K60" s="6"/>
      <c r="L60" s="7"/>
      <c r="M60" s="13"/>
      <c r="N60" s="9"/>
      <c r="O60" s="9"/>
      <c r="P60" s="9"/>
      <c r="Q60" s="14">
        <f>73954.24*1.18</f>
        <v>87266.003200000006</v>
      </c>
      <c r="R60" s="10">
        <f t="shared" si="4"/>
        <v>87.2660032</v>
      </c>
      <c r="S60" s="5">
        <v>22.5</v>
      </c>
      <c r="T60" s="11">
        <f t="shared" si="5"/>
        <v>87266.003200000006</v>
      </c>
      <c r="U60" s="11">
        <f t="shared" si="6"/>
        <v>87.2660032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4"/>
      <c r="AU60" s="4"/>
      <c r="AV60" s="12">
        <f t="shared" si="7"/>
        <v>87.2660032</v>
      </c>
    </row>
    <row r="61" spans="1:48" ht="21" customHeight="1">
      <c r="A61" s="1">
        <v>55</v>
      </c>
      <c r="B61" s="34" t="s">
        <v>40</v>
      </c>
      <c r="C61" s="35" t="s">
        <v>56</v>
      </c>
      <c r="D61" s="36"/>
      <c r="E61" s="4"/>
      <c r="F61" s="15"/>
      <c r="G61" s="15"/>
      <c r="H61" s="15"/>
      <c r="I61" s="15"/>
      <c r="J61" s="15"/>
      <c r="K61" s="6"/>
      <c r="L61" s="7"/>
      <c r="M61" s="8"/>
      <c r="N61" s="9"/>
      <c r="O61" s="9"/>
      <c r="P61" s="9"/>
      <c r="Q61" s="10">
        <f>73945.91*1.18</f>
        <v>87256.173800000004</v>
      </c>
      <c r="R61" s="10">
        <f t="shared" si="4"/>
        <v>87.256173799999999</v>
      </c>
      <c r="S61" s="5">
        <v>22.5</v>
      </c>
      <c r="T61" s="11">
        <f t="shared" si="5"/>
        <v>87256.173800000004</v>
      </c>
      <c r="U61" s="11">
        <f t="shared" si="6"/>
        <v>87.256173799999999</v>
      </c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4"/>
      <c r="AU61" s="4"/>
      <c r="AV61" s="12">
        <f t="shared" si="7"/>
        <v>87.256173799999999</v>
      </c>
    </row>
    <row r="62" spans="1:48" ht="19.5" customHeight="1">
      <c r="A62" s="1">
        <v>56</v>
      </c>
      <c r="B62" s="34" t="s">
        <v>40</v>
      </c>
      <c r="C62" s="35" t="s">
        <v>50</v>
      </c>
      <c r="D62" s="36">
        <v>1</v>
      </c>
      <c r="E62" s="4"/>
      <c r="F62" s="15"/>
      <c r="G62" s="15"/>
      <c r="H62" s="15"/>
      <c r="I62" s="15"/>
      <c r="J62" s="15"/>
      <c r="K62" s="6"/>
      <c r="L62" s="7"/>
      <c r="M62" s="8"/>
      <c r="N62" s="9"/>
      <c r="O62" s="9"/>
      <c r="P62" s="9"/>
      <c r="Q62" s="10">
        <f>309268.48*1.18</f>
        <v>364936.80639999994</v>
      </c>
      <c r="R62" s="10">
        <f t="shared" si="4"/>
        <v>364.93680639999997</v>
      </c>
      <c r="S62" s="5">
        <v>73</v>
      </c>
      <c r="T62" s="11">
        <f t="shared" si="5"/>
        <v>364936.80639999994</v>
      </c>
      <c r="U62" s="11">
        <f t="shared" si="6"/>
        <v>364.93680639999997</v>
      </c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4"/>
      <c r="AU62" s="4"/>
      <c r="AV62" s="12">
        <f t="shared" si="7"/>
        <v>364.93680639999997</v>
      </c>
    </row>
    <row r="63" spans="1:48" ht="21" customHeight="1">
      <c r="A63" s="1">
        <v>57</v>
      </c>
      <c r="B63" s="34" t="s">
        <v>40</v>
      </c>
      <c r="C63" s="35" t="s">
        <v>57</v>
      </c>
      <c r="D63" s="36"/>
      <c r="E63" s="4"/>
      <c r="F63" s="15"/>
      <c r="G63" s="15"/>
      <c r="H63" s="15"/>
      <c r="I63" s="15"/>
      <c r="J63" s="15"/>
      <c r="K63" s="6"/>
      <c r="L63" s="7"/>
      <c r="M63" s="8"/>
      <c r="N63" s="9"/>
      <c r="O63" s="9"/>
      <c r="P63" s="9"/>
      <c r="Q63" s="10">
        <f>68851.45*1.18</f>
        <v>81244.710999999996</v>
      </c>
      <c r="R63" s="10">
        <f t="shared" si="4"/>
        <v>81.244710999999995</v>
      </c>
      <c r="S63" s="5">
        <v>22.5</v>
      </c>
      <c r="T63" s="11">
        <f t="shared" si="5"/>
        <v>81244.710999999996</v>
      </c>
      <c r="U63" s="11">
        <f t="shared" si="6"/>
        <v>81.244710999999995</v>
      </c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4"/>
      <c r="AU63" s="4"/>
      <c r="AV63" s="12">
        <f t="shared" si="7"/>
        <v>81.244710999999995</v>
      </c>
    </row>
    <row r="64" spans="1:48">
      <c r="A64" s="1">
        <v>58</v>
      </c>
      <c r="B64" s="34" t="s">
        <v>33</v>
      </c>
      <c r="C64" s="35" t="s">
        <v>58</v>
      </c>
      <c r="D64" s="36"/>
      <c r="E64" s="4"/>
      <c r="F64" s="15"/>
      <c r="G64" s="15"/>
      <c r="H64" s="15"/>
      <c r="I64" s="15"/>
      <c r="J64" s="15"/>
      <c r="K64" s="6"/>
      <c r="L64" s="7"/>
      <c r="M64" s="8"/>
      <c r="N64" s="9"/>
      <c r="O64" s="9"/>
      <c r="P64" s="9"/>
      <c r="Q64" s="10">
        <f>138923.68*1.18</f>
        <v>163929.94239999997</v>
      </c>
      <c r="R64" s="10">
        <f t="shared" si="4"/>
        <v>163.92994239999996</v>
      </c>
      <c r="S64" s="5">
        <v>45</v>
      </c>
      <c r="T64" s="11">
        <f t="shared" si="5"/>
        <v>163929.94239999997</v>
      </c>
      <c r="U64" s="11">
        <f t="shared" si="6"/>
        <v>163.92994239999996</v>
      </c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4"/>
      <c r="AU64" s="4"/>
      <c r="AV64" s="12">
        <f t="shared" si="7"/>
        <v>163.92994239999996</v>
      </c>
    </row>
    <row r="65" spans="1:48">
      <c r="A65" s="1">
        <v>59</v>
      </c>
      <c r="B65" s="34" t="s">
        <v>33</v>
      </c>
      <c r="C65" s="35" t="s">
        <v>37</v>
      </c>
      <c r="D65" s="36">
        <v>2</v>
      </c>
      <c r="E65" s="4"/>
      <c r="F65" s="15"/>
      <c r="G65" s="15"/>
      <c r="H65" s="15"/>
      <c r="I65" s="15"/>
      <c r="J65" s="15"/>
      <c r="K65" s="6"/>
      <c r="L65" s="7"/>
      <c r="M65" s="8"/>
      <c r="N65" s="9"/>
      <c r="O65" s="9"/>
      <c r="P65" s="9"/>
      <c r="Q65" s="6">
        <f>178442.28*1.18</f>
        <v>210561.89039999997</v>
      </c>
      <c r="R65" s="10">
        <f t="shared" si="4"/>
        <v>210.56189039999998</v>
      </c>
      <c r="S65" s="5">
        <v>38.5</v>
      </c>
      <c r="T65" s="11">
        <f t="shared" si="5"/>
        <v>210561.89039999997</v>
      </c>
      <c r="U65" s="11">
        <f t="shared" si="6"/>
        <v>210.56189039999998</v>
      </c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4"/>
      <c r="AU65" s="4"/>
      <c r="AV65" s="12">
        <f t="shared" si="7"/>
        <v>210.56189039999998</v>
      </c>
    </row>
    <row r="66" spans="1:48">
      <c r="A66" s="1">
        <v>60</v>
      </c>
      <c r="B66" s="34" t="s">
        <v>33</v>
      </c>
      <c r="C66" s="35" t="s">
        <v>59</v>
      </c>
      <c r="D66" s="36"/>
      <c r="E66" s="4"/>
      <c r="F66" s="15"/>
      <c r="G66" s="15"/>
      <c r="H66" s="15"/>
      <c r="I66" s="15"/>
      <c r="J66" s="15"/>
      <c r="K66" s="17"/>
      <c r="L66" s="7"/>
      <c r="M66" s="18"/>
      <c r="N66" s="2"/>
      <c r="O66" s="2"/>
      <c r="P66" s="2"/>
      <c r="Q66" s="10">
        <f>75216.4*1.18</f>
        <v>88755.351999999984</v>
      </c>
      <c r="R66" s="10">
        <f t="shared" si="4"/>
        <v>88.755351999999988</v>
      </c>
      <c r="S66" s="6">
        <v>22.5</v>
      </c>
      <c r="T66" s="11">
        <f t="shared" si="5"/>
        <v>88755.351999999984</v>
      </c>
      <c r="U66" s="11">
        <f t="shared" si="6"/>
        <v>88.755351999999988</v>
      </c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4"/>
      <c r="AU66" s="4"/>
      <c r="AV66" s="12">
        <f t="shared" si="7"/>
        <v>88.755351999999988</v>
      </c>
    </row>
    <row r="67" spans="1:48">
      <c r="A67" s="1">
        <v>61</v>
      </c>
      <c r="B67" s="42" t="s">
        <v>33</v>
      </c>
      <c r="C67" s="35" t="s">
        <v>60</v>
      </c>
      <c r="D67" s="36">
        <v>2</v>
      </c>
      <c r="E67" s="37">
        <f>40171.7*1.18</f>
        <v>47402.605999999992</v>
      </c>
      <c r="F67" s="6">
        <f>E67/1000</f>
        <v>47.402605999999992</v>
      </c>
      <c r="G67" s="5">
        <v>35</v>
      </c>
      <c r="H67" s="5"/>
      <c r="I67" s="5"/>
      <c r="J67" s="5"/>
      <c r="K67" s="17"/>
      <c r="L67" s="7"/>
      <c r="M67" s="18"/>
      <c r="N67" s="2"/>
      <c r="O67" s="2"/>
      <c r="P67" s="2"/>
      <c r="Q67" s="10"/>
      <c r="R67" s="10"/>
      <c r="S67" s="17"/>
      <c r="T67" s="11"/>
      <c r="U67" s="11"/>
      <c r="X67" s="5"/>
      <c r="Y67" s="5"/>
      <c r="Z67" s="5"/>
      <c r="AA67" s="7">
        <f>23661.82*1.18+129468.59*1.18+20125.1*1.18</f>
        <v>204441.5018</v>
      </c>
      <c r="AB67" s="7">
        <f>AA67/1000</f>
        <v>204.4415018</v>
      </c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6"/>
      <c r="AP67" s="6"/>
      <c r="AQ67" s="8"/>
      <c r="AR67" s="8"/>
      <c r="AS67" s="6"/>
      <c r="AT67" s="11">
        <f t="shared" ref="AT67:AT72" si="8">E67+H67+X67+AC67+AF67+AI67+AL67+AO67+AR67+AA67</f>
        <v>251844.1078</v>
      </c>
      <c r="AU67" s="11">
        <f t="shared" ref="AU67:AU72" si="9">AT67/1000</f>
        <v>251.84410779999999</v>
      </c>
      <c r="AV67" s="12">
        <f t="shared" si="7"/>
        <v>251.84410779999999</v>
      </c>
    </row>
    <row r="68" spans="1:48">
      <c r="A68" s="1">
        <v>62</v>
      </c>
      <c r="B68" s="42" t="s">
        <v>33</v>
      </c>
      <c r="C68" s="35" t="s">
        <v>60</v>
      </c>
      <c r="D68" s="36">
        <v>3</v>
      </c>
      <c r="E68" s="37">
        <f>8837.29*1.18</f>
        <v>10428.002200000001</v>
      </c>
      <c r="F68" s="6">
        <f>E68/1000</f>
        <v>10.428002200000002</v>
      </c>
      <c r="G68" s="5">
        <v>9</v>
      </c>
      <c r="H68" s="5"/>
      <c r="I68" s="5"/>
      <c r="J68" s="5"/>
      <c r="K68" s="17"/>
      <c r="L68" s="7"/>
      <c r="M68" s="18"/>
      <c r="N68" s="2"/>
      <c r="O68" s="2"/>
      <c r="P68" s="2"/>
      <c r="Q68" s="10"/>
      <c r="R68" s="10"/>
      <c r="S68" s="17"/>
      <c r="T68" s="11"/>
      <c r="U68" s="11"/>
      <c r="X68" s="7">
        <f>217528.12*1.18</f>
        <v>256683.18159999998</v>
      </c>
      <c r="Y68" s="7">
        <f>X68/1000</f>
        <v>256.68318159999995</v>
      </c>
      <c r="Z68" s="5">
        <v>134.4</v>
      </c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6"/>
      <c r="AP68" s="6"/>
      <c r="AQ68" s="8"/>
      <c r="AR68" s="7">
        <f>27481.24*1.18</f>
        <v>32427.8632</v>
      </c>
      <c r="AS68" s="6">
        <f>AR68/1000</f>
        <v>32.427863199999997</v>
      </c>
      <c r="AT68" s="11">
        <f t="shared" si="8"/>
        <v>299539.04700000002</v>
      </c>
      <c r="AU68" s="11">
        <f t="shared" si="9"/>
        <v>299.53904700000004</v>
      </c>
      <c r="AV68" s="12">
        <f t="shared" si="7"/>
        <v>299.53904699999993</v>
      </c>
    </row>
    <row r="69" spans="1:48">
      <c r="A69" s="1">
        <v>63</v>
      </c>
      <c r="B69" s="42" t="s">
        <v>33</v>
      </c>
      <c r="C69" s="35" t="s">
        <v>61</v>
      </c>
      <c r="D69" s="36"/>
      <c r="E69" s="37">
        <f>76805.77*1.18</f>
        <v>90630.808600000004</v>
      </c>
      <c r="F69" s="6">
        <f>E69/1000</f>
        <v>90.630808600000009</v>
      </c>
      <c r="G69" s="5">
        <v>153</v>
      </c>
      <c r="H69" s="7">
        <f>37984.31*1.18</f>
        <v>44821.485799999995</v>
      </c>
      <c r="I69" s="7">
        <f>H69/1000</f>
        <v>44.821485799999998</v>
      </c>
      <c r="J69" s="5">
        <v>36</v>
      </c>
      <c r="K69" s="6">
        <f>86688.18*1.18</f>
        <v>102292.05239999999</v>
      </c>
      <c r="L69" s="7">
        <f>K69/1000</f>
        <v>102.29205239999999</v>
      </c>
      <c r="M69" s="8">
        <v>54</v>
      </c>
      <c r="N69" s="7">
        <f>6073.59*1.18</f>
        <v>7166.8361999999997</v>
      </c>
      <c r="O69" s="7">
        <f>N69/1000</f>
        <v>7.1668361999999997</v>
      </c>
      <c r="P69" s="5"/>
      <c r="Q69" s="10"/>
      <c r="R69" s="10"/>
      <c r="S69" s="6"/>
      <c r="T69" s="11">
        <f>K69+N69+Q69</f>
        <v>109458.88859999999</v>
      </c>
      <c r="U69" s="11">
        <f>T69/1000</f>
        <v>109.45888859999999</v>
      </c>
      <c r="X69" s="6">
        <f>7776.79*1.18+14563.39*1.18</f>
        <v>26361.412399999997</v>
      </c>
      <c r="Y69" s="7">
        <f>X69/1000</f>
        <v>26.361412399999999</v>
      </c>
      <c r="Z69" s="6">
        <f>15.8+22</f>
        <v>37.799999999999997</v>
      </c>
      <c r="AA69" s="17"/>
      <c r="AB69" s="17"/>
      <c r="AC69" s="6">
        <f>54307.92*1.18</f>
        <v>64083.345599999993</v>
      </c>
      <c r="AD69" s="6">
        <f>AC69/1000</f>
        <v>64.083345599999987</v>
      </c>
      <c r="AE69" s="19">
        <v>300</v>
      </c>
      <c r="AF69" s="17"/>
      <c r="AG69" s="17"/>
      <c r="AH69" s="6"/>
      <c r="AI69" s="6">
        <f>102553.96*1.18</f>
        <v>121013.6728</v>
      </c>
      <c r="AJ69" s="7">
        <f>AI69/1000</f>
        <v>121.01367279999999</v>
      </c>
      <c r="AK69" s="6">
        <v>17.5</v>
      </c>
      <c r="AL69" s="17"/>
      <c r="AM69" s="17"/>
      <c r="AN69" s="17"/>
      <c r="AO69" s="6">
        <f>51744.82*1.18</f>
        <v>61058.887599999995</v>
      </c>
      <c r="AP69" s="6">
        <f>AO69/1000</f>
        <v>61.058887599999991</v>
      </c>
      <c r="AQ69" s="8">
        <v>6</v>
      </c>
      <c r="AR69" s="20">
        <f>90478.24*1.18</f>
        <v>106764.3232</v>
      </c>
      <c r="AS69" s="21">
        <f>AR69/1000</f>
        <v>106.76432319999999</v>
      </c>
      <c r="AT69" s="11">
        <f t="shared" si="8"/>
        <v>514733.93599999999</v>
      </c>
      <c r="AU69" s="11">
        <f t="shared" si="9"/>
        <v>514.73393599999997</v>
      </c>
      <c r="AV69" s="12">
        <f t="shared" si="7"/>
        <v>624.19282459999999</v>
      </c>
    </row>
    <row r="70" spans="1:48">
      <c r="A70" s="1">
        <v>64</v>
      </c>
      <c r="B70" s="43" t="s">
        <v>31</v>
      </c>
      <c r="C70" s="38">
        <v>49</v>
      </c>
      <c r="D70" s="38">
        <v>3</v>
      </c>
      <c r="E70" s="21"/>
      <c r="F70" s="6"/>
      <c r="G70" s="22"/>
      <c r="H70" s="22"/>
      <c r="I70" s="22"/>
      <c r="J70" s="22"/>
      <c r="K70" s="6"/>
      <c r="L70" s="7"/>
      <c r="M70" s="13"/>
      <c r="N70" s="9"/>
      <c r="O70" s="9"/>
      <c r="P70" s="9"/>
      <c r="Q70" s="14"/>
      <c r="R70" s="10"/>
      <c r="S70" s="5"/>
      <c r="T70" s="11"/>
      <c r="U70" s="11"/>
      <c r="X70" s="7">
        <f>189564.75*1.18</f>
        <v>223686.405</v>
      </c>
      <c r="Y70" s="7">
        <f>X70/1000</f>
        <v>223.68640500000001</v>
      </c>
      <c r="Z70" s="5">
        <f>108</f>
        <v>108</v>
      </c>
      <c r="AA70" s="7">
        <f>356070.27*1.18</f>
        <v>420162.91859999998</v>
      </c>
      <c r="AB70" s="7">
        <f>AA70/1000</f>
        <v>420.16291859999995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6"/>
      <c r="AP70" s="6"/>
      <c r="AQ70" s="23"/>
      <c r="AR70" s="23"/>
      <c r="AS70" s="24"/>
      <c r="AT70" s="11">
        <f t="shared" si="8"/>
        <v>643849.3236</v>
      </c>
      <c r="AU70" s="11">
        <f t="shared" si="9"/>
        <v>643.84932360000005</v>
      </c>
      <c r="AV70" s="12">
        <f t="shared" si="7"/>
        <v>643.84932359999993</v>
      </c>
    </row>
    <row r="71" spans="1:48">
      <c r="A71" s="1">
        <v>65</v>
      </c>
      <c r="B71" s="42" t="s">
        <v>26</v>
      </c>
      <c r="C71" s="38">
        <v>3</v>
      </c>
      <c r="D71" s="38">
        <v>2</v>
      </c>
      <c r="E71" s="21"/>
      <c r="F71" s="6"/>
      <c r="G71" s="22"/>
      <c r="H71" s="22"/>
      <c r="I71" s="22"/>
      <c r="J71" s="22"/>
      <c r="K71" s="6"/>
      <c r="L71" s="7"/>
      <c r="M71" s="13"/>
      <c r="N71" s="9"/>
      <c r="O71" s="9"/>
      <c r="P71" s="9"/>
      <c r="Q71" s="14"/>
      <c r="R71" s="10"/>
      <c r="S71" s="5"/>
      <c r="T71" s="11"/>
      <c r="U71" s="11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7">
        <f>15309.8*1.18+243883.4*1.18</f>
        <v>305847.97599999997</v>
      </c>
      <c r="AJ71" s="7">
        <f>AI71/1000</f>
        <v>305.84797599999996</v>
      </c>
      <c r="AK71" s="5"/>
      <c r="AL71" s="6">
        <f>123772.28*1.18</f>
        <v>146051.2904</v>
      </c>
      <c r="AM71" s="6">
        <f>AL71/1000</f>
        <v>146.0512904</v>
      </c>
      <c r="AN71" s="23">
        <v>15</v>
      </c>
      <c r="AO71" s="6">
        <f>36318.72*1.18+26085.2*1.18</f>
        <v>73636.625599999999</v>
      </c>
      <c r="AP71" s="6">
        <f>AO71/1000</f>
        <v>73.636625600000002</v>
      </c>
      <c r="AQ71" s="23">
        <f>1+1</f>
        <v>2</v>
      </c>
      <c r="AR71" s="23"/>
      <c r="AS71" s="24"/>
      <c r="AT71" s="11">
        <f t="shared" si="8"/>
        <v>525535.89199999999</v>
      </c>
      <c r="AU71" s="11">
        <f t="shared" si="9"/>
        <v>525.53589199999999</v>
      </c>
      <c r="AV71" s="12">
        <f t="shared" si="7"/>
        <v>525.53589199999999</v>
      </c>
    </row>
    <row r="72" spans="1:48" ht="21" customHeight="1">
      <c r="A72" s="1">
        <v>66</v>
      </c>
      <c r="B72" s="42" t="s">
        <v>40</v>
      </c>
      <c r="C72" s="35" t="s">
        <v>50</v>
      </c>
      <c r="D72" s="36">
        <v>2</v>
      </c>
      <c r="E72" s="37">
        <f>19912.64*1.18</f>
        <v>23496.915199999999</v>
      </c>
      <c r="F72" s="6">
        <f>E72/1000</f>
        <v>23.4969152</v>
      </c>
      <c r="G72" s="5">
        <v>24</v>
      </c>
      <c r="H72" s="5"/>
      <c r="I72" s="5"/>
      <c r="J72" s="5"/>
      <c r="K72" s="6"/>
      <c r="L72" s="7"/>
      <c r="M72" s="8"/>
      <c r="N72" s="9"/>
      <c r="O72" s="9"/>
      <c r="P72" s="9"/>
      <c r="Q72" s="10"/>
      <c r="R72" s="10"/>
      <c r="S72" s="5"/>
      <c r="T72" s="11"/>
      <c r="U72" s="11"/>
      <c r="X72" s="7"/>
      <c r="Y72" s="7"/>
      <c r="Z72" s="5"/>
      <c r="AA72" s="7">
        <f>47219.04*1.18</f>
        <v>55718.467199999999</v>
      </c>
      <c r="AB72" s="7">
        <f>AA72/1000</f>
        <v>55.718467199999999</v>
      </c>
      <c r="AC72" s="5"/>
      <c r="AD72" s="5"/>
      <c r="AE72" s="5"/>
      <c r="AF72" s="7">
        <f>31526.6*1.18</f>
        <v>37201.387999999999</v>
      </c>
      <c r="AG72" s="7">
        <f>AF72/1000</f>
        <v>37.201388000000001</v>
      </c>
      <c r="AH72" s="5">
        <v>8</v>
      </c>
      <c r="AI72" s="5"/>
      <c r="AJ72" s="5"/>
      <c r="AK72" s="5"/>
      <c r="AL72" s="5"/>
      <c r="AM72" s="5"/>
      <c r="AN72" s="5"/>
      <c r="AO72" s="6"/>
      <c r="AP72" s="6"/>
      <c r="AQ72" s="8"/>
      <c r="AR72" s="7">
        <f>36379.68*1.18</f>
        <v>42928.022400000002</v>
      </c>
      <c r="AS72" s="6">
        <f>AR72/1000</f>
        <v>42.928022400000003</v>
      </c>
      <c r="AT72" s="11">
        <f t="shared" si="8"/>
        <v>159344.7928</v>
      </c>
      <c r="AU72" s="11">
        <f t="shared" si="9"/>
        <v>159.34479279999999</v>
      </c>
      <c r="AV72" s="12">
        <f t="shared" si="7"/>
        <v>159.34479279999999</v>
      </c>
    </row>
    <row r="73" spans="1:48">
      <c r="A73" s="50" t="s">
        <v>62</v>
      </c>
      <c r="B73" s="51"/>
      <c r="C73" s="51"/>
      <c r="D73" s="52"/>
      <c r="E73" s="25">
        <f t="shared" ref="E73:U73" si="10">SUM(E8:E68)</f>
        <v>57830.608199999995</v>
      </c>
      <c r="F73" s="25">
        <f t="shared" si="10"/>
        <v>57.830608199999993</v>
      </c>
      <c r="G73" s="25">
        <f t="shared" si="10"/>
        <v>44</v>
      </c>
      <c r="H73" s="25">
        <f t="shared" si="10"/>
        <v>0</v>
      </c>
      <c r="I73" s="25">
        <f t="shared" si="10"/>
        <v>0</v>
      </c>
      <c r="J73" s="25">
        <f t="shared" si="10"/>
        <v>0</v>
      </c>
      <c r="K73" s="25">
        <f t="shared" si="10"/>
        <v>7523853.7904000003</v>
      </c>
      <c r="L73" s="25">
        <f t="shared" si="10"/>
        <v>7523.8537904000004</v>
      </c>
      <c r="M73" s="25">
        <f t="shared" si="10"/>
        <v>3986.1</v>
      </c>
      <c r="N73" s="25">
        <f t="shared" si="10"/>
        <v>0</v>
      </c>
      <c r="O73" s="25">
        <f t="shared" si="10"/>
        <v>0</v>
      </c>
      <c r="P73" s="25">
        <f t="shared" si="10"/>
        <v>0</v>
      </c>
      <c r="Q73" s="25">
        <f t="shared" si="10"/>
        <v>4123207.8019999997</v>
      </c>
      <c r="R73" s="25">
        <f t="shared" si="10"/>
        <v>4123.207801999999</v>
      </c>
      <c r="S73" s="25">
        <f t="shared" si="10"/>
        <v>1025</v>
      </c>
      <c r="T73" s="25">
        <f t="shared" si="10"/>
        <v>11647061.592399994</v>
      </c>
      <c r="U73" s="25">
        <f t="shared" si="10"/>
        <v>11647.061592400007</v>
      </c>
      <c r="X73" s="25">
        <f t="shared" ref="X73:AU73" si="11">SUM(X8:X68)</f>
        <v>256683.18159999998</v>
      </c>
      <c r="Y73" s="25">
        <f t="shared" si="11"/>
        <v>256.68318159999995</v>
      </c>
      <c r="Z73" s="25">
        <f t="shared" si="11"/>
        <v>134.4</v>
      </c>
      <c r="AA73" s="25">
        <f t="shared" si="11"/>
        <v>204441.5018</v>
      </c>
      <c r="AB73" s="25">
        <f t="shared" si="11"/>
        <v>204.4415018</v>
      </c>
      <c r="AC73" s="25">
        <f t="shared" si="11"/>
        <v>0</v>
      </c>
      <c r="AD73" s="25">
        <f t="shared" si="11"/>
        <v>0</v>
      </c>
      <c r="AE73" s="25">
        <f t="shared" si="11"/>
        <v>0</v>
      </c>
      <c r="AF73" s="25">
        <f t="shared" si="11"/>
        <v>0</v>
      </c>
      <c r="AG73" s="25">
        <f t="shared" si="11"/>
        <v>0</v>
      </c>
      <c r="AH73" s="25">
        <f t="shared" si="11"/>
        <v>0</v>
      </c>
      <c r="AI73" s="25">
        <f t="shared" si="11"/>
        <v>0</v>
      </c>
      <c r="AJ73" s="25">
        <f t="shared" si="11"/>
        <v>0</v>
      </c>
      <c r="AK73" s="25">
        <f t="shared" si="11"/>
        <v>0</v>
      </c>
      <c r="AL73" s="25">
        <f t="shared" si="11"/>
        <v>0</v>
      </c>
      <c r="AM73" s="25">
        <f t="shared" si="11"/>
        <v>0</v>
      </c>
      <c r="AN73" s="25">
        <f t="shared" si="11"/>
        <v>0</v>
      </c>
      <c r="AO73" s="25">
        <f t="shared" si="11"/>
        <v>0</v>
      </c>
      <c r="AP73" s="25">
        <f t="shared" si="11"/>
        <v>0</v>
      </c>
      <c r="AQ73" s="25">
        <f t="shared" si="11"/>
        <v>0</v>
      </c>
      <c r="AR73" s="25">
        <f t="shared" si="11"/>
        <v>32427.8632</v>
      </c>
      <c r="AS73" s="25">
        <f t="shared" si="11"/>
        <v>32.427863199999997</v>
      </c>
      <c r="AT73" s="25">
        <f t="shared" si="11"/>
        <v>551383.15480000002</v>
      </c>
      <c r="AU73" s="25">
        <f t="shared" si="11"/>
        <v>551.38315480000006</v>
      </c>
      <c r="AV73" s="45">
        <f>SUM(AV7:AV72)</f>
        <v>14999.999543600006</v>
      </c>
    </row>
    <row r="79" spans="1:48" ht="25.5"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</row>
    <row r="80" spans="1:48" ht="25.5">
      <c r="J80" s="27" t="s">
        <v>66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6"/>
      <c r="AF80" s="27"/>
      <c r="AG80" s="26"/>
      <c r="AH80" s="27" t="s">
        <v>67</v>
      </c>
    </row>
  </sheetData>
  <mergeCells count="15">
    <mergeCell ref="AK1:AV1"/>
    <mergeCell ref="AI5:AK5"/>
    <mergeCell ref="AL5:AN5"/>
    <mergeCell ref="AO5:AQ5"/>
    <mergeCell ref="A73:D73"/>
    <mergeCell ref="C2:AQ3"/>
    <mergeCell ref="E5:G5"/>
    <mergeCell ref="H5:J5"/>
    <mergeCell ref="K5:M5"/>
    <mergeCell ref="N5:P5"/>
    <mergeCell ref="Q5:S5"/>
    <mergeCell ref="X5:Z5"/>
    <mergeCell ref="AA5:AB5"/>
    <mergeCell ref="AC5:AE5"/>
    <mergeCell ref="AF5:AH5"/>
  </mergeCells>
  <pageMargins left="0.7" right="0.7" top="0.75" bottom="0.75" header="0.3" footer="0.3"/>
  <pageSetup paperSize="9" scale="46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благоустройство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2013-05-30T06:27:34Z</dcterms:modified>
</cp:coreProperties>
</file>